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codeName="ThisWorkbook"/>
  <mc:AlternateContent xmlns:mc="http://schemas.openxmlformats.org/markup-compatibility/2006">
    <mc:Choice Requires="x15">
      <x15ac:absPath xmlns:x15ac="http://schemas.microsoft.com/office/spreadsheetml/2010/11/ac" url="https://d.docs.live.net/4529e4109b50d646/Attachments/"/>
    </mc:Choice>
  </mc:AlternateContent>
  <xr:revisionPtr revIDLastSave="17" documentId="13_ncr:1_{88B55763-9191-4779-99B2-A3368268199D}" xr6:coauthVersionLast="47" xr6:coauthVersionMax="47" xr10:uidLastSave="{6CCCB614-12E1-4DA1-8286-F36C45C696D7}"/>
  <bookViews>
    <workbookView xWindow="-108" yWindow="-108" windowWidth="23256" windowHeight="12456" tabRatio="761" firstSheet="6" activeTab="6" xr2:uid="{00000000-000D-0000-FFFF-FFFF00000000}"/>
  </bookViews>
  <sheets>
    <sheet name="Vet" sheetId="17" state="hidden" r:id="rId1"/>
    <sheet name="FacingSheet" sheetId="13" r:id="rId2"/>
    <sheet name="Input" sheetId="12" r:id="rId3"/>
    <sheet name="Sign-On" sheetId="10" r:id="rId4"/>
    <sheet name="Start List" sheetId="16" r:id="rId5"/>
    <sheet name="Option 1" sheetId="9" r:id="rId6"/>
    <sheet name="Fastest" sheetId="14" r:id="rId7"/>
    <sheet name="Handicap" sheetId="22" r:id="rId8"/>
    <sheet name="BC 1" sheetId="20" r:id="rId9"/>
    <sheet name="BC2" sheetId="21" r:id="rId10"/>
    <sheet name="Fastest Vet" sheetId="18" r:id="rId11"/>
    <sheet name="Updates" sheetId="19" r:id="rId12"/>
  </sheets>
  <definedNames>
    <definedName name="Age">Vet!$A$2:$G$62</definedName>
    <definedName name="AgeF">Vet!$I$2:$O$62</definedName>
    <definedName name="BCFast">'BC2'!$A$5:$D$204</definedName>
    <definedName name="Distance">FacingSheet!$S$14:$S$20</definedName>
    <definedName name="Entrants">Input!$A$2:$T$201</definedName>
    <definedName name="Field">'Start List'!$C$8:$Q$207</definedName>
    <definedName name="_xlnm.Print_Area" localSheetId="3">'Sign-On'!$A$1:$P$160</definedName>
    <definedName name="_xlnm.Print_Area" localSheetId="4">'Start List'!$C$2:$R$47</definedName>
    <definedName name="_xlnm.Print_Titles" localSheetId="3">'Sign-On'!$1:$10</definedName>
    <definedName name="Result">'Option 1'!$A$13:$AI$212</definedName>
    <definedName name="StartList">'Start List'!$A$8:$Q$209</definedName>
    <definedName name="StartListHC">'Start List'!$B$8:$Q$207</definedName>
    <definedName name="Vet">'Fastest Vet'!$A$10:$E$209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4" i="12" l="1"/>
  <c r="G74" i="12"/>
  <c r="E74" i="12"/>
  <c r="C74" i="12"/>
  <c r="B74" i="12"/>
  <c r="I73" i="12"/>
  <c r="G73" i="12"/>
  <c r="E73" i="12"/>
  <c r="C73" i="12"/>
  <c r="B73" i="12"/>
  <c r="I72" i="12"/>
  <c r="G72" i="12"/>
  <c r="E72" i="12"/>
  <c r="C72" i="12"/>
  <c r="G71" i="12"/>
  <c r="I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G16" i="12"/>
  <c r="G15" i="12"/>
  <c r="G14" i="12"/>
  <c r="I16" i="12"/>
  <c r="I15" i="12"/>
  <c r="I14" i="12"/>
  <c r="E16" i="12"/>
  <c r="E15" i="12"/>
  <c r="E14" i="12"/>
  <c r="C16" i="12"/>
  <c r="B16" i="12"/>
  <c r="C15" i="12"/>
  <c r="B15" i="12"/>
  <c r="C14" i="12"/>
  <c r="B14" i="12"/>
  <c r="I13" i="12"/>
  <c r="G13" i="12"/>
  <c r="E13" i="12"/>
  <c r="C13" i="12"/>
  <c r="B13" i="12"/>
  <c r="I12" i="12"/>
  <c r="I11" i="12"/>
  <c r="I10" i="12"/>
  <c r="I9" i="12"/>
  <c r="I8" i="12"/>
  <c r="I7" i="12"/>
  <c r="I6" i="12"/>
  <c r="I5" i="12"/>
  <c r="I4" i="12"/>
  <c r="I3" i="12"/>
  <c r="I2" i="12"/>
  <c r="G12" i="12"/>
  <c r="G11" i="12"/>
  <c r="G10" i="12"/>
  <c r="G9" i="12"/>
  <c r="G8" i="12"/>
  <c r="G7" i="12"/>
  <c r="G6" i="12"/>
  <c r="G5" i="12"/>
  <c r="G4" i="12"/>
  <c r="G3" i="12"/>
  <c r="G2" i="12"/>
  <c r="E12" i="12"/>
  <c r="E11" i="12"/>
  <c r="E10" i="12"/>
  <c r="E9" i="12"/>
  <c r="E8" i="12"/>
  <c r="E7" i="12"/>
  <c r="E6" i="12"/>
  <c r="E4" i="12"/>
  <c r="E3" i="12"/>
  <c r="E2" i="12"/>
  <c r="C12" i="12"/>
  <c r="B12" i="12"/>
  <c r="C11" i="12"/>
  <c r="B11" i="12"/>
  <c r="C10" i="12"/>
  <c r="B10" i="12"/>
  <c r="C9" i="12"/>
  <c r="B9" i="12"/>
  <c r="C8" i="12"/>
  <c r="B8" i="12"/>
  <c r="C7" i="12"/>
  <c r="B7" i="12"/>
  <c r="C6" i="12"/>
  <c r="B6" i="12"/>
  <c r="C5" i="12"/>
  <c r="B5" i="12"/>
  <c r="C4" i="12"/>
  <c r="B4" i="12"/>
  <c r="C3" i="12"/>
  <c r="B3" i="12"/>
  <c r="C2" i="12"/>
  <c r="B2" i="12"/>
  <c r="B174" i="21"/>
  <c r="B175" i="21"/>
  <c r="B176" i="21"/>
  <c r="B177" i="21"/>
  <c r="B178" i="21"/>
  <c r="B179" i="21"/>
  <c r="B180" i="21"/>
  <c r="B181" i="21"/>
  <c r="B182" i="21"/>
  <c r="B183" i="21"/>
  <c r="B184" i="21"/>
  <c r="B185" i="21"/>
  <c r="B186" i="21"/>
  <c r="B187" i="21"/>
  <c r="B188" i="21"/>
  <c r="B189" i="21"/>
  <c r="B190" i="21"/>
  <c r="B191" i="21"/>
  <c r="B192" i="21"/>
  <c r="B193" i="21"/>
  <c r="B194" i="21"/>
  <c r="B195" i="21"/>
  <c r="B196" i="21"/>
  <c r="B197" i="21"/>
  <c r="B198" i="21"/>
  <c r="B199" i="21"/>
  <c r="B200" i="21"/>
  <c r="B201" i="21"/>
  <c r="B202" i="21"/>
  <c r="B203" i="21"/>
  <c r="B204" i="21"/>
  <c r="B155" i="21"/>
  <c r="B156" i="21"/>
  <c r="B157" i="21"/>
  <c r="B158" i="21"/>
  <c r="B159" i="21"/>
  <c r="B160" i="21"/>
  <c r="B161" i="21"/>
  <c r="B162" i="21"/>
  <c r="B163" i="21"/>
  <c r="B164" i="21"/>
  <c r="B165" i="21"/>
  <c r="B166" i="21"/>
  <c r="B167" i="21"/>
  <c r="B168" i="21"/>
  <c r="B169" i="21"/>
  <c r="B170" i="21"/>
  <c r="B171" i="21"/>
  <c r="B172" i="21"/>
  <c r="B173" i="21"/>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AD210" i="9" l="1"/>
  <c r="AD211" i="9"/>
  <c r="AD212" i="9"/>
  <c r="AD197" i="9"/>
  <c r="AD198" i="9"/>
  <c r="AD199" i="9"/>
  <c r="AD200" i="9"/>
  <c r="AD201" i="9"/>
  <c r="AD202" i="9"/>
  <c r="AD203" i="9"/>
  <c r="AD204" i="9"/>
  <c r="AD205" i="9"/>
  <c r="AD206" i="9"/>
  <c r="AD207" i="9"/>
  <c r="AD208" i="9"/>
  <c r="AD209" i="9"/>
  <c r="AD183" i="9"/>
  <c r="AD184" i="9"/>
  <c r="AD185" i="9"/>
  <c r="AD186" i="9"/>
  <c r="AD187" i="9"/>
  <c r="AD188" i="9"/>
  <c r="AD189" i="9"/>
  <c r="AD190" i="9"/>
  <c r="AD191" i="9"/>
  <c r="AD192" i="9"/>
  <c r="AD193" i="9"/>
  <c r="AD194" i="9"/>
  <c r="AD195" i="9"/>
  <c r="AD196" i="9"/>
  <c r="D202" i="10"/>
  <c r="E199" i="16" s="1"/>
  <c r="F202" i="10"/>
  <c r="G199" i="16" s="1"/>
  <c r="H202" i="10"/>
  <c r="F199" i="16" s="1"/>
  <c r="D203" i="10"/>
  <c r="E200" i="16" s="1"/>
  <c r="F203" i="10"/>
  <c r="G200" i="16" s="1"/>
  <c r="H203" i="10"/>
  <c r="F200" i="16" s="1"/>
  <c r="D204" i="10"/>
  <c r="E201" i="16" s="1"/>
  <c r="F204" i="10"/>
  <c r="G201" i="16" s="1"/>
  <c r="H204" i="10"/>
  <c r="F201" i="16" s="1"/>
  <c r="D205" i="10"/>
  <c r="E202" i="16" s="1"/>
  <c r="F205" i="10"/>
  <c r="G202" i="16" s="1"/>
  <c r="H205" i="10"/>
  <c r="F202" i="16" s="1"/>
  <c r="D206" i="10"/>
  <c r="E203" i="16" s="1"/>
  <c r="F206" i="10"/>
  <c r="G203" i="16" s="1"/>
  <c r="H206" i="10"/>
  <c r="F203" i="16" s="1"/>
  <c r="D207" i="10"/>
  <c r="E204" i="16" s="1"/>
  <c r="F207" i="10"/>
  <c r="G204" i="16" s="1"/>
  <c r="H207" i="10"/>
  <c r="F204" i="16" s="1"/>
  <c r="D208" i="10"/>
  <c r="E205" i="16" s="1"/>
  <c r="F208" i="10"/>
  <c r="G205" i="16" s="1"/>
  <c r="H208" i="10"/>
  <c r="F205" i="16" s="1"/>
  <c r="D209" i="10"/>
  <c r="E206" i="16" s="1"/>
  <c r="F209" i="10"/>
  <c r="G206" i="16" s="1"/>
  <c r="H209" i="10"/>
  <c r="F206" i="16" s="1"/>
  <c r="D210" i="10"/>
  <c r="E207" i="16" s="1"/>
  <c r="F210" i="10"/>
  <c r="G207" i="16" s="1"/>
  <c r="H210" i="10"/>
  <c r="F207" i="16" s="1"/>
  <c r="D181" i="10"/>
  <c r="E178" i="16" s="1"/>
  <c r="F181" i="10"/>
  <c r="G178" i="16" s="1"/>
  <c r="H181" i="10"/>
  <c r="F178" i="16" s="1"/>
  <c r="D182" i="10"/>
  <c r="E179" i="16" s="1"/>
  <c r="F182" i="10"/>
  <c r="G179" i="16" s="1"/>
  <c r="H182" i="10"/>
  <c r="F179" i="16" s="1"/>
  <c r="D183" i="10"/>
  <c r="E180" i="16" s="1"/>
  <c r="F183" i="10"/>
  <c r="G180" i="16" s="1"/>
  <c r="H183" i="10"/>
  <c r="F180" i="16" s="1"/>
  <c r="D184" i="10"/>
  <c r="E181" i="16" s="1"/>
  <c r="F184" i="10"/>
  <c r="G181" i="16" s="1"/>
  <c r="H184" i="10"/>
  <c r="F181" i="16" s="1"/>
  <c r="D185" i="10"/>
  <c r="E182" i="16" s="1"/>
  <c r="F185" i="10"/>
  <c r="G182" i="16" s="1"/>
  <c r="H185" i="10"/>
  <c r="F182" i="16" s="1"/>
  <c r="D186" i="10"/>
  <c r="E183" i="16" s="1"/>
  <c r="F186" i="10"/>
  <c r="G183" i="16" s="1"/>
  <c r="H186" i="10"/>
  <c r="F183" i="16" s="1"/>
  <c r="D187" i="10"/>
  <c r="E184" i="16" s="1"/>
  <c r="F187" i="10"/>
  <c r="G184" i="16" s="1"/>
  <c r="H187" i="10"/>
  <c r="F184" i="16" s="1"/>
  <c r="D188" i="10"/>
  <c r="E185" i="16" s="1"/>
  <c r="F188" i="10"/>
  <c r="G185" i="16" s="1"/>
  <c r="H188" i="10"/>
  <c r="F185" i="16" s="1"/>
  <c r="D189" i="10"/>
  <c r="E186" i="16" s="1"/>
  <c r="F189" i="10"/>
  <c r="G186" i="16" s="1"/>
  <c r="H189" i="10"/>
  <c r="F186" i="16" s="1"/>
  <c r="D190" i="10"/>
  <c r="E187" i="16" s="1"/>
  <c r="F190" i="10"/>
  <c r="G187" i="16" s="1"/>
  <c r="H190" i="10"/>
  <c r="F187" i="16" s="1"/>
  <c r="D191" i="10"/>
  <c r="E188" i="16" s="1"/>
  <c r="F191" i="10"/>
  <c r="G188" i="16" s="1"/>
  <c r="H191" i="10"/>
  <c r="F188" i="16" s="1"/>
  <c r="D192" i="10"/>
  <c r="E189" i="16" s="1"/>
  <c r="F192" i="10"/>
  <c r="G189" i="16" s="1"/>
  <c r="H192" i="10"/>
  <c r="F189" i="16" s="1"/>
  <c r="D193" i="10"/>
  <c r="E190" i="16" s="1"/>
  <c r="F193" i="10"/>
  <c r="G190" i="16" s="1"/>
  <c r="H193" i="10"/>
  <c r="F190" i="16" s="1"/>
  <c r="D194" i="10"/>
  <c r="E191" i="16" s="1"/>
  <c r="F194" i="10"/>
  <c r="G191" i="16" s="1"/>
  <c r="H194" i="10"/>
  <c r="F191" i="16" s="1"/>
  <c r="D195" i="10"/>
  <c r="E192" i="16" s="1"/>
  <c r="F195" i="10"/>
  <c r="G192" i="16" s="1"/>
  <c r="H195" i="10"/>
  <c r="F192" i="16" s="1"/>
  <c r="D196" i="10"/>
  <c r="E193" i="16" s="1"/>
  <c r="F196" i="10"/>
  <c r="G193" i="16" s="1"/>
  <c r="H196" i="10"/>
  <c r="F193" i="16" s="1"/>
  <c r="D197" i="10"/>
  <c r="E194" i="16" s="1"/>
  <c r="F197" i="10"/>
  <c r="G194" i="16" s="1"/>
  <c r="H197" i="10"/>
  <c r="F194" i="16" s="1"/>
  <c r="D198" i="10"/>
  <c r="E195" i="16" s="1"/>
  <c r="F198" i="10"/>
  <c r="G195" i="16" s="1"/>
  <c r="H198" i="10"/>
  <c r="F195" i="16" s="1"/>
  <c r="D199" i="10"/>
  <c r="E196" i="16" s="1"/>
  <c r="F199" i="10"/>
  <c r="G196" i="16" s="1"/>
  <c r="H199" i="10"/>
  <c r="F196" i="16" s="1"/>
  <c r="D200" i="10"/>
  <c r="E197" i="16" s="1"/>
  <c r="F200" i="10"/>
  <c r="G197" i="16" s="1"/>
  <c r="H200" i="10"/>
  <c r="F197" i="16" s="1"/>
  <c r="D201" i="10"/>
  <c r="E198" i="16" s="1"/>
  <c r="F201" i="10"/>
  <c r="G198" i="16" s="1"/>
  <c r="H201" i="10"/>
  <c r="F198" i="16" s="1"/>
  <c r="D172" i="12"/>
  <c r="J172" i="12"/>
  <c r="P172" i="12" s="1"/>
  <c r="K172" i="12"/>
  <c r="L172" i="12"/>
  <c r="M172" i="12"/>
  <c r="N172" i="12"/>
  <c r="O172" i="12"/>
  <c r="D173" i="12"/>
  <c r="J173" i="12"/>
  <c r="P173" i="12" s="1"/>
  <c r="K173" i="12"/>
  <c r="L173" i="12"/>
  <c r="M173" i="12"/>
  <c r="N173" i="12"/>
  <c r="O173" i="12"/>
  <c r="D174" i="12"/>
  <c r="J174" i="12"/>
  <c r="P174" i="12" s="1"/>
  <c r="K174" i="12"/>
  <c r="L174" i="12"/>
  <c r="M174" i="12"/>
  <c r="N174" i="12"/>
  <c r="O174" i="12"/>
  <c r="D175" i="12"/>
  <c r="J175" i="12"/>
  <c r="P175" i="12" s="1"/>
  <c r="K175" i="12"/>
  <c r="L175" i="12"/>
  <c r="M175" i="12"/>
  <c r="N175" i="12"/>
  <c r="O175" i="12"/>
  <c r="D176" i="12"/>
  <c r="J176" i="12"/>
  <c r="P176" i="12" s="1"/>
  <c r="K176" i="12"/>
  <c r="L176" i="12"/>
  <c r="M176" i="12"/>
  <c r="N176" i="12"/>
  <c r="O176" i="12"/>
  <c r="D177" i="12"/>
  <c r="J177" i="12"/>
  <c r="P177" i="12" s="1"/>
  <c r="K177" i="12"/>
  <c r="L177" i="12"/>
  <c r="M177" i="12"/>
  <c r="N177" i="12"/>
  <c r="O177" i="12"/>
  <c r="D178" i="12"/>
  <c r="J178" i="12"/>
  <c r="P178" i="12" s="1"/>
  <c r="K178" i="12"/>
  <c r="L178" i="12"/>
  <c r="M178" i="12"/>
  <c r="N178" i="12"/>
  <c r="O178" i="12"/>
  <c r="D179" i="12"/>
  <c r="J179" i="12"/>
  <c r="P179" i="12" s="1"/>
  <c r="K179" i="12"/>
  <c r="L179" i="12"/>
  <c r="M179" i="12"/>
  <c r="N179" i="12"/>
  <c r="O179" i="12"/>
  <c r="D180" i="12"/>
  <c r="J180" i="12"/>
  <c r="P180" i="12" s="1"/>
  <c r="K180" i="12"/>
  <c r="L180" i="12"/>
  <c r="M180" i="12"/>
  <c r="N180" i="12"/>
  <c r="O180" i="12"/>
  <c r="D181" i="12"/>
  <c r="J181" i="12"/>
  <c r="P181" i="12" s="1"/>
  <c r="K181" i="12"/>
  <c r="L181" i="12"/>
  <c r="M181" i="12"/>
  <c r="N181" i="12"/>
  <c r="O181" i="12"/>
  <c r="D182" i="12"/>
  <c r="J182" i="12"/>
  <c r="P182" i="12" s="1"/>
  <c r="K182" i="12"/>
  <c r="L182" i="12"/>
  <c r="M182" i="12"/>
  <c r="N182" i="12"/>
  <c r="O182" i="12"/>
  <c r="D183" i="12"/>
  <c r="J183" i="12"/>
  <c r="P183" i="12" s="1"/>
  <c r="K183" i="12"/>
  <c r="L183" i="12"/>
  <c r="M183" i="12"/>
  <c r="N183" i="12"/>
  <c r="O183" i="12"/>
  <c r="D184" i="12"/>
  <c r="J184" i="12"/>
  <c r="P184" i="12" s="1"/>
  <c r="K184" i="12"/>
  <c r="L184" i="12"/>
  <c r="M184" i="12"/>
  <c r="N184" i="12"/>
  <c r="O184" i="12"/>
  <c r="D185" i="12"/>
  <c r="J185" i="12"/>
  <c r="P185" i="12" s="1"/>
  <c r="K185" i="12"/>
  <c r="L185" i="12"/>
  <c r="M185" i="12"/>
  <c r="N185" i="12"/>
  <c r="O185" i="12"/>
  <c r="D186" i="12"/>
  <c r="J186" i="12"/>
  <c r="P186" i="12" s="1"/>
  <c r="K186" i="12"/>
  <c r="L186" i="12"/>
  <c r="M186" i="12"/>
  <c r="N186" i="12"/>
  <c r="O186" i="12"/>
  <c r="D187" i="12"/>
  <c r="J187" i="12"/>
  <c r="P187" i="12" s="1"/>
  <c r="K187" i="12"/>
  <c r="L187" i="12"/>
  <c r="M187" i="12"/>
  <c r="N187" i="12"/>
  <c r="O187" i="12"/>
  <c r="D188" i="12"/>
  <c r="J188" i="12"/>
  <c r="P188" i="12" s="1"/>
  <c r="K188" i="12"/>
  <c r="L188" i="12"/>
  <c r="M188" i="12"/>
  <c r="N188" i="12"/>
  <c r="O188" i="12"/>
  <c r="D189" i="12"/>
  <c r="J189" i="12"/>
  <c r="P189" i="12" s="1"/>
  <c r="K189" i="12"/>
  <c r="L189" i="12"/>
  <c r="M189" i="12"/>
  <c r="N189" i="12"/>
  <c r="O189" i="12"/>
  <c r="D190" i="12"/>
  <c r="J190" i="12"/>
  <c r="P190" i="12" s="1"/>
  <c r="K190" i="12"/>
  <c r="L190" i="12"/>
  <c r="M190" i="12"/>
  <c r="N190" i="12"/>
  <c r="O190" i="12"/>
  <c r="D191" i="12"/>
  <c r="J191" i="12"/>
  <c r="P191" i="12" s="1"/>
  <c r="K191" i="12"/>
  <c r="L191" i="12"/>
  <c r="M191" i="12"/>
  <c r="N191" i="12"/>
  <c r="O191" i="12"/>
  <c r="D192" i="12"/>
  <c r="J192" i="12"/>
  <c r="P192" i="12" s="1"/>
  <c r="K192" i="12"/>
  <c r="L192" i="12"/>
  <c r="M192" i="12"/>
  <c r="N192" i="12"/>
  <c r="O192" i="12"/>
  <c r="D193" i="12"/>
  <c r="J193" i="12"/>
  <c r="P193" i="12" s="1"/>
  <c r="K193" i="12"/>
  <c r="L193" i="12"/>
  <c r="M193" i="12"/>
  <c r="N193" i="12"/>
  <c r="O193" i="12"/>
  <c r="D194" i="12"/>
  <c r="J194" i="12"/>
  <c r="P194" i="12" s="1"/>
  <c r="K194" i="12"/>
  <c r="L194" i="12"/>
  <c r="M194" i="12"/>
  <c r="N194" i="12"/>
  <c r="O194" i="12"/>
  <c r="D195" i="12"/>
  <c r="J195" i="12"/>
  <c r="K195" i="12"/>
  <c r="L195" i="12"/>
  <c r="M195" i="12"/>
  <c r="N195" i="12"/>
  <c r="O195" i="12"/>
  <c r="P195" i="12"/>
  <c r="D196" i="12"/>
  <c r="J196" i="12"/>
  <c r="P196" i="12" s="1"/>
  <c r="K196" i="12"/>
  <c r="L196" i="12"/>
  <c r="M196" i="12"/>
  <c r="N196" i="12"/>
  <c r="O196" i="12"/>
  <c r="D197" i="12"/>
  <c r="J197" i="12"/>
  <c r="P197" i="12" s="1"/>
  <c r="K197" i="12"/>
  <c r="L197" i="12"/>
  <c r="M197" i="12"/>
  <c r="N197" i="12"/>
  <c r="O197" i="12"/>
  <c r="D198" i="12"/>
  <c r="J198" i="12"/>
  <c r="P198" i="12" s="1"/>
  <c r="K198" i="12"/>
  <c r="L198" i="12"/>
  <c r="M198" i="12"/>
  <c r="N198" i="12"/>
  <c r="O198" i="12"/>
  <c r="D199" i="12"/>
  <c r="J199" i="12"/>
  <c r="P199" i="12" s="1"/>
  <c r="K199" i="12"/>
  <c r="L199" i="12"/>
  <c r="M199" i="12"/>
  <c r="N199" i="12"/>
  <c r="O199" i="12"/>
  <c r="D200" i="12"/>
  <c r="J200" i="12"/>
  <c r="P200" i="12" s="1"/>
  <c r="K200" i="12"/>
  <c r="L200" i="12"/>
  <c r="M200" i="12"/>
  <c r="N200" i="12"/>
  <c r="O200" i="12"/>
  <c r="D201" i="12"/>
  <c r="J201" i="12"/>
  <c r="P201" i="12" s="1"/>
  <c r="K201" i="12"/>
  <c r="L201" i="12"/>
  <c r="M201" i="12"/>
  <c r="N201" i="12"/>
  <c r="O201" i="12"/>
  <c r="J171" i="12"/>
  <c r="J4" i="12"/>
  <c r="C183" i="21" l="1"/>
  <c r="D183" i="21" s="1"/>
  <c r="B191" i="9"/>
  <c r="C198" i="21"/>
  <c r="D198" i="21" s="1"/>
  <c r="B206" i="9"/>
  <c r="C194" i="21"/>
  <c r="D194" i="21" s="1"/>
  <c r="B202" i="9"/>
  <c r="C186" i="21"/>
  <c r="D186" i="21" s="1"/>
  <c r="B194" i="9"/>
  <c r="C182" i="21"/>
  <c r="D182" i="21" s="1"/>
  <c r="B190" i="9"/>
  <c r="C178" i="21"/>
  <c r="D178" i="21" s="1"/>
  <c r="B186" i="9"/>
  <c r="C201" i="21"/>
  <c r="D201" i="21" s="1"/>
  <c r="B209" i="9"/>
  <c r="C197" i="21"/>
  <c r="D197" i="21" s="1"/>
  <c r="B205" i="9"/>
  <c r="C193" i="21"/>
  <c r="D193" i="21" s="1"/>
  <c r="B201" i="9"/>
  <c r="C189" i="21"/>
  <c r="D189" i="21" s="1"/>
  <c r="B197" i="9"/>
  <c r="C187" i="21"/>
  <c r="D187" i="21" s="1"/>
  <c r="B195" i="9"/>
  <c r="C179" i="21"/>
  <c r="D179" i="21" s="1"/>
  <c r="B187" i="9"/>
  <c r="C190" i="21"/>
  <c r="D190" i="21" s="1"/>
  <c r="B198" i="9"/>
  <c r="C185" i="21"/>
  <c r="D185" i="21" s="1"/>
  <c r="B193" i="9"/>
  <c r="C181" i="21"/>
  <c r="D181" i="21" s="1"/>
  <c r="B189" i="9"/>
  <c r="C177" i="21"/>
  <c r="D177" i="21" s="1"/>
  <c r="B185" i="9"/>
  <c r="C200" i="21"/>
  <c r="D200" i="21" s="1"/>
  <c r="B208" i="9"/>
  <c r="C196" i="21"/>
  <c r="D196" i="21" s="1"/>
  <c r="B204" i="9"/>
  <c r="C192" i="21"/>
  <c r="D192" i="21" s="1"/>
  <c r="B200" i="9"/>
  <c r="C175" i="21"/>
  <c r="D175" i="21" s="1"/>
  <c r="B183" i="9"/>
  <c r="C202" i="21"/>
  <c r="D202" i="21" s="1"/>
  <c r="B210" i="9"/>
  <c r="C188" i="21"/>
  <c r="D188" i="21" s="1"/>
  <c r="B196" i="9"/>
  <c r="C184" i="21"/>
  <c r="D184" i="21" s="1"/>
  <c r="B192" i="9"/>
  <c r="C180" i="21"/>
  <c r="D180" i="21" s="1"/>
  <c r="B188" i="9"/>
  <c r="C176" i="21"/>
  <c r="D176" i="21" s="1"/>
  <c r="B184" i="9"/>
  <c r="C199" i="21"/>
  <c r="D199" i="21" s="1"/>
  <c r="B207" i="9"/>
  <c r="C195" i="21"/>
  <c r="D195" i="21" s="1"/>
  <c r="B203" i="9"/>
  <c r="C191" i="21"/>
  <c r="D191" i="21" s="1"/>
  <c r="B199" i="9"/>
  <c r="C203" i="21"/>
  <c r="D203" i="21" s="1"/>
  <c r="B211" i="9"/>
  <c r="F206" i="9"/>
  <c r="F195" i="9"/>
  <c r="F202" i="9"/>
  <c r="F198" i="9"/>
  <c r="F183" i="9"/>
  <c r="Q193" i="9"/>
  <c r="Q212" i="9"/>
  <c r="Q208" i="9"/>
  <c r="Q204" i="9"/>
  <c r="Q200" i="9"/>
  <c r="F187" i="9"/>
  <c r="Q185" i="9"/>
  <c r="F191" i="9"/>
  <c r="Q189" i="9"/>
  <c r="F205" i="9"/>
  <c r="F210" i="9"/>
  <c r="Y196" i="9"/>
  <c r="Y188" i="9"/>
  <c r="Y199" i="9"/>
  <c r="Y211" i="9"/>
  <c r="Q196" i="9"/>
  <c r="Y195" i="9"/>
  <c r="F194" i="9"/>
  <c r="Q192" i="9"/>
  <c r="Y191" i="9"/>
  <c r="F190" i="9"/>
  <c r="Q188" i="9"/>
  <c r="Y187" i="9"/>
  <c r="F186" i="9"/>
  <c r="Q184" i="9"/>
  <c r="Y183" i="9"/>
  <c r="F209" i="9"/>
  <c r="Q207" i="9"/>
  <c r="Y206" i="9"/>
  <c r="Q203" i="9"/>
  <c r="Y202" i="9"/>
  <c r="F201" i="9"/>
  <c r="Q199" i="9"/>
  <c r="Y198" i="9"/>
  <c r="F197" i="9"/>
  <c r="Q211" i="9"/>
  <c r="Y210" i="9"/>
  <c r="Q195" i="9"/>
  <c r="Y194" i="9"/>
  <c r="F193" i="9"/>
  <c r="Q191" i="9"/>
  <c r="Y190" i="9"/>
  <c r="F189" i="9"/>
  <c r="Q187" i="9"/>
  <c r="Y186" i="9"/>
  <c r="F185" i="9"/>
  <c r="Q183" i="9"/>
  <c r="Y209" i="9"/>
  <c r="F208" i="9"/>
  <c r="Q206" i="9"/>
  <c r="Y205" i="9"/>
  <c r="F204" i="9"/>
  <c r="Q202" i="9"/>
  <c r="Y201" i="9"/>
  <c r="F200" i="9"/>
  <c r="Q198" i="9"/>
  <c r="Y197" i="9"/>
  <c r="F212" i="9"/>
  <c r="Q210" i="9"/>
  <c r="Y192" i="9"/>
  <c r="Y184" i="9"/>
  <c r="Y207" i="9"/>
  <c r="Y203" i="9"/>
  <c r="F196" i="9"/>
  <c r="Q194" i="9"/>
  <c r="Y193" i="9"/>
  <c r="F192" i="9"/>
  <c r="Q190" i="9"/>
  <c r="Y189" i="9"/>
  <c r="F188" i="9"/>
  <c r="Q186" i="9"/>
  <c r="Y185" i="9"/>
  <c r="F184" i="9"/>
  <c r="Q209" i="9"/>
  <c r="Y208" i="9"/>
  <c r="F207" i="9"/>
  <c r="Q205" i="9"/>
  <c r="Y204" i="9"/>
  <c r="F203" i="9"/>
  <c r="Q201" i="9"/>
  <c r="Y200" i="9"/>
  <c r="F199" i="9"/>
  <c r="Q197" i="9"/>
  <c r="Y212" i="9"/>
  <c r="F211" i="9"/>
  <c r="C204" i="21"/>
  <c r="D204" i="21" s="1"/>
  <c r="B212" i="9"/>
  <c r="K28" i="12" l="1"/>
  <c r="L28" i="12"/>
  <c r="M28" i="12"/>
  <c r="N28" i="12"/>
  <c r="O28" i="12"/>
  <c r="K29" i="12"/>
  <c r="L29" i="12"/>
  <c r="M29" i="12"/>
  <c r="N29" i="12"/>
  <c r="O29" i="12"/>
  <c r="K30" i="12"/>
  <c r="L30" i="12"/>
  <c r="M30" i="12"/>
  <c r="N30" i="12"/>
  <c r="O30" i="12"/>
  <c r="K31" i="12"/>
  <c r="L31" i="12"/>
  <c r="M31" i="12"/>
  <c r="N31" i="12"/>
  <c r="O31" i="12"/>
  <c r="K32" i="12"/>
  <c r="L32" i="12"/>
  <c r="M32" i="12"/>
  <c r="N32" i="12"/>
  <c r="O32" i="12"/>
  <c r="K33" i="12"/>
  <c r="L33" i="12"/>
  <c r="M33" i="12"/>
  <c r="N33" i="12"/>
  <c r="O33" i="12"/>
  <c r="K34" i="12"/>
  <c r="L34" i="12"/>
  <c r="M34" i="12"/>
  <c r="N34" i="12"/>
  <c r="O34" i="12"/>
  <c r="K35" i="12"/>
  <c r="L35" i="12"/>
  <c r="M35" i="12"/>
  <c r="N35" i="12"/>
  <c r="O35" i="12"/>
  <c r="K36" i="12"/>
  <c r="L36" i="12"/>
  <c r="M36" i="12"/>
  <c r="N36" i="12"/>
  <c r="O36" i="12"/>
  <c r="K37" i="12"/>
  <c r="L37" i="12"/>
  <c r="M37" i="12"/>
  <c r="N37" i="12"/>
  <c r="O37" i="12"/>
  <c r="J27" i="12"/>
  <c r="J28" i="12"/>
  <c r="P28" i="12" s="1"/>
  <c r="J29" i="12"/>
  <c r="P29" i="12" s="1"/>
  <c r="J30" i="12"/>
  <c r="J31" i="12"/>
  <c r="J32" i="12"/>
  <c r="P32" i="12" s="1"/>
  <c r="J33" i="12"/>
  <c r="J34" i="12"/>
  <c r="J35" i="12"/>
  <c r="J36" i="12"/>
  <c r="P36" i="12" s="1"/>
  <c r="J37" i="12"/>
  <c r="J38" i="12"/>
  <c r="J39" i="12"/>
  <c r="P39" i="12" s="1"/>
  <c r="X6" i="22"/>
  <c r="H6" i="22"/>
  <c r="X5" i="22"/>
  <c r="H5" i="22"/>
  <c r="X4" i="22"/>
  <c r="X3" i="22"/>
  <c r="H3" i="22"/>
  <c r="K19" i="12"/>
  <c r="K20" i="12"/>
  <c r="K21" i="12"/>
  <c r="K22" i="12"/>
  <c r="K23" i="12"/>
  <c r="K24" i="12"/>
  <c r="K25" i="12"/>
  <c r="K26" i="12"/>
  <c r="K2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3" i="12"/>
  <c r="K4" i="12"/>
  <c r="P4" i="12" s="1"/>
  <c r="K5" i="12"/>
  <c r="K6" i="12"/>
  <c r="K7" i="12"/>
  <c r="K8" i="12"/>
  <c r="K9" i="12"/>
  <c r="K10" i="12"/>
  <c r="K11" i="12"/>
  <c r="K12" i="12"/>
  <c r="K13" i="12"/>
  <c r="K14" i="12"/>
  <c r="K15" i="12"/>
  <c r="K16" i="12"/>
  <c r="K17" i="12"/>
  <c r="K18" i="12"/>
  <c r="K2" i="12"/>
  <c r="L2" i="12"/>
  <c r="L89" i="12"/>
  <c r="L85" i="12"/>
  <c r="L81" i="12"/>
  <c r="L78" i="12"/>
  <c r="L77" i="12"/>
  <c r="L73" i="12"/>
  <c r="L72" i="12"/>
  <c r="L69" i="12"/>
  <c r="L68" i="12"/>
  <c r="L65" i="12"/>
  <c r="L64" i="12"/>
  <c r="L59" i="12"/>
  <c r="L55" i="12"/>
  <c r="L51" i="12"/>
  <c r="L48" i="12"/>
  <c r="L47" i="12"/>
  <c r="L44" i="12"/>
  <c r="L43" i="12"/>
  <c r="L39" i="12"/>
  <c r="L27" i="12"/>
  <c r="L24" i="12"/>
  <c r="L23" i="12"/>
  <c r="L20" i="12"/>
  <c r="L19" i="12"/>
  <c r="L15" i="12"/>
  <c r="L11" i="12"/>
  <c r="L4" i="12"/>
  <c r="D2" i="12"/>
  <c r="J2" i="12"/>
  <c r="P2" i="12" s="1"/>
  <c r="M2" i="12"/>
  <c r="N2" i="12"/>
  <c r="O2" i="12"/>
  <c r="D3" i="12"/>
  <c r="B112" i="10" s="1"/>
  <c r="J3" i="12"/>
  <c r="L3" i="12"/>
  <c r="M3" i="12"/>
  <c r="N3" i="12"/>
  <c r="O3" i="12"/>
  <c r="D4" i="12"/>
  <c r="M4" i="12"/>
  <c r="N4" i="12"/>
  <c r="O4" i="12"/>
  <c r="D5" i="12"/>
  <c r="J5" i="12"/>
  <c r="P5" i="12" s="1"/>
  <c r="L5" i="12"/>
  <c r="M5" i="12"/>
  <c r="N5" i="12"/>
  <c r="O5" i="12"/>
  <c r="D6" i="12"/>
  <c r="B115" i="10" s="1"/>
  <c r="D112" i="16" s="1"/>
  <c r="J6" i="12"/>
  <c r="P6" i="12" s="1"/>
  <c r="L6" i="12"/>
  <c r="M6" i="12"/>
  <c r="N6" i="12"/>
  <c r="O6" i="12"/>
  <c r="D7" i="12"/>
  <c r="J7" i="12"/>
  <c r="P7" i="12" s="1"/>
  <c r="L7" i="12"/>
  <c r="M7" i="12"/>
  <c r="N7" i="12"/>
  <c r="O7" i="12"/>
  <c r="D8" i="12"/>
  <c r="B117" i="10" s="1"/>
  <c r="D114" i="16" s="1"/>
  <c r="J8" i="12"/>
  <c r="P8" i="12" s="1"/>
  <c r="L8" i="12"/>
  <c r="M8" i="12"/>
  <c r="N8" i="12"/>
  <c r="O8" i="12"/>
  <c r="D9" i="12"/>
  <c r="B118" i="10" s="1"/>
  <c r="D115" i="16" s="1"/>
  <c r="J9" i="12"/>
  <c r="L9" i="12"/>
  <c r="M9" i="12"/>
  <c r="N9" i="12"/>
  <c r="O9" i="12"/>
  <c r="D10" i="12"/>
  <c r="J10" i="12"/>
  <c r="P10" i="12" s="1"/>
  <c r="L10" i="12"/>
  <c r="M10" i="12"/>
  <c r="N10" i="12"/>
  <c r="O10" i="12"/>
  <c r="D11" i="12"/>
  <c r="B90" i="10"/>
  <c r="D87" i="16" s="1"/>
  <c r="J11" i="12"/>
  <c r="P11" i="12" s="1"/>
  <c r="M11" i="12"/>
  <c r="N11" i="12"/>
  <c r="O11" i="12"/>
  <c r="D12" i="12"/>
  <c r="B121" i="10" s="1"/>
  <c r="I123" i="9" s="1"/>
  <c r="J12" i="12"/>
  <c r="L12" i="12"/>
  <c r="M12" i="12"/>
  <c r="N12" i="12"/>
  <c r="O12" i="12"/>
  <c r="D13" i="12"/>
  <c r="J13" i="12"/>
  <c r="L13" i="12"/>
  <c r="M13" i="12"/>
  <c r="N13" i="12"/>
  <c r="O13" i="12"/>
  <c r="D14" i="12"/>
  <c r="B123" i="10" s="1"/>
  <c r="I125" i="9" s="1"/>
  <c r="J14" i="12"/>
  <c r="P14" i="12" s="1"/>
  <c r="L14" i="12"/>
  <c r="M14" i="12"/>
  <c r="N14" i="12"/>
  <c r="O14" i="12"/>
  <c r="D15" i="12"/>
  <c r="J15" i="12"/>
  <c r="P15" i="12" s="1"/>
  <c r="M15" i="12"/>
  <c r="N15" i="12"/>
  <c r="O15" i="12"/>
  <c r="D16" i="12"/>
  <c r="J16" i="12"/>
  <c r="P16" i="12" s="1"/>
  <c r="L16" i="12"/>
  <c r="M16" i="12"/>
  <c r="N16" i="12"/>
  <c r="O16" i="12"/>
  <c r="D17" i="12"/>
  <c r="J17" i="12"/>
  <c r="L17" i="12"/>
  <c r="M17" i="12"/>
  <c r="N17" i="12"/>
  <c r="O17" i="12"/>
  <c r="D18" i="12"/>
  <c r="J18" i="12"/>
  <c r="P18" i="12" s="1"/>
  <c r="L18" i="12"/>
  <c r="M18" i="12"/>
  <c r="N18" i="12"/>
  <c r="O18" i="12"/>
  <c r="D19" i="12"/>
  <c r="J19" i="12"/>
  <c r="P19" i="12" s="1"/>
  <c r="M19" i="12"/>
  <c r="N19" i="12"/>
  <c r="O19" i="12"/>
  <c r="D20" i="12"/>
  <c r="J20" i="12"/>
  <c r="P20" i="12" s="1"/>
  <c r="M20" i="12"/>
  <c r="N20" i="12"/>
  <c r="O20" i="12"/>
  <c r="D21" i="12"/>
  <c r="B130" i="10" s="1"/>
  <c r="I132" i="9" s="1"/>
  <c r="J21" i="12"/>
  <c r="P21" i="12" s="1"/>
  <c r="L21" i="12"/>
  <c r="M21" i="12"/>
  <c r="N21" i="12"/>
  <c r="O21" i="12"/>
  <c r="D22" i="12"/>
  <c r="J22" i="12"/>
  <c r="P22" i="12" s="1"/>
  <c r="L22" i="12"/>
  <c r="M22" i="12"/>
  <c r="N22" i="12"/>
  <c r="O22" i="12"/>
  <c r="D23" i="12"/>
  <c r="J23" i="12"/>
  <c r="P23" i="12" s="1"/>
  <c r="M23" i="12"/>
  <c r="N23" i="12"/>
  <c r="O23" i="12"/>
  <c r="D24" i="12"/>
  <c r="B26" i="10" s="1"/>
  <c r="D23" i="16" s="1"/>
  <c r="J24" i="12"/>
  <c r="M24" i="12"/>
  <c r="N24" i="12"/>
  <c r="O24" i="12"/>
  <c r="D25" i="12"/>
  <c r="J25" i="12"/>
  <c r="L25" i="12"/>
  <c r="M25" i="12"/>
  <c r="N25" i="12"/>
  <c r="O25" i="12"/>
  <c r="D26" i="12"/>
  <c r="J26" i="12"/>
  <c r="L26" i="12"/>
  <c r="M26" i="12"/>
  <c r="N26" i="12"/>
  <c r="O26" i="12"/>
  <c r="D27" i="12"/>
  <c r="B95" i="10"/>
  <c r="I97" i="9" s="1"/>
  <c r="P27" i="12"/>
  <c r="M27" i="12"/>
  <c r="N27" i="12"/>
  <c r="O27" i="12"/>
  <c r="D28" i="12"/>
  <c r="B85" i="10"/>
  <c r="D82" i="16" s="1"/>
  <c r="D29" i="12"/>
  <c r="D30" i="12"/>
  <c r="D31" i="12"/>
  <c r="D32" i="12"/>
  <c r="B141" i="10" s="1"/>
  <c r="D138" i="16" s="1"/>
  <c r="D33" i="12"/>
  <c r="D34" i="12"/>
  <c r="D35" i="12"/>
  <c r="B144" i="10" s="1"/>
  <c r="D141" i="16" s="1"/>
  <c r="D36" i="12"/>
  <c r="D37" i="12"/>
  <c r="D38" i="12"/>
  <c r="B147" i="10" s="1"/>
  <c r="I149" i="9" s="1"/>
  <c r="L38" i="12"/>
  <c r="M38" i="12"/>
  <c r="N38" i="12"/>
  <c r="O38" i="12"/>
  <c r="D39" i="12"/>
  <c r="M39" i="12"/>
  <c r="N39" i="12"/>
  <c r="O39" i="12"/>
  <c r="D40" i="12"/>
  <c r="J40" i="12"/>
  <c r="P40" i="12" s="1"/>
  <c r="L40" i="12"/>
  <c r="M40" i="12"/>
  <c r="N40" i="12"/>
  <c r="O40" i="12"/>
  <c r="D41" i="12"/>
  <c r="B150" i="10" s="1"/>
  <c r="D147" i="16" s="1"/>
  <c r="J41" i="12"/>
  <c r="P41" i="12" s="1"/>
  <c r="L41" i="12"/>
  <c r="M41" i="12"/>
  <c r="N41" i="12"/>
  <c r="O41" i="12"/>
  <c r="D42" i="12"/>
  <c r="J42" i="12"/>
  <c r="L42" i="12"/>
  <c r="M42" i="12"/>
  <c r="N42" i="12"/>
  <c r="O42" i="12"/>
  <c r="D43" i="12"/>
  <c r="J43" i="12"/>
  <c r="P43" i="12" s="1"/>
  <c r="M43" i="12"/>
  <c r="N43" i="12"/>
  <c r="O43" i="12"/>
  <c r="D44" i="12"/>
  <c r="B137" i="10"/>
  <c r="I139" i="9" s="1"/>
  <c r="J44" i="12"/>
  <c r="M44" i="12"/>
  <c r="N44" i="12"/>
  <c r="O44" i="12"/>
  <c r="D45" i="12"/>
  <c r="J45" i="12"/>
  <c r="L45" i="12"/>
  <c r="M45" i="12"/>
  <c r="N45" i="12"/>
  <c r="O45" i="12"/>
  <c r="D46" i="12"/>
  <c r="B155" i="10" s="1"/>
  <c r="D152" i="16" s="1"/>
  <c r="J46" i="12"/>
  <c r="L46" i="12"/>
  <c r="M46" i="12"/>
  <c r="N46" i="12"/>
  <c r="O46" i="12"/>
  <c r="D47" i="12"/>
  <c r="J47" i="12"/>
  <c r="P47" i="12" s="1"/>
  <c r="M47" i="12"/>
  <c r="N47" i="12"/>
  <c r="O47" i="12"/>
  <c r="D48" i="12"/>
  <c r="J48" i="12"/>
  <c r="P48" i="12" s="1"/>
  <c r="M48" i="12"/>
  <c r="N48" i="12"/>
  <c r="O48" i="12"/>
  <c r="D49" i="12"/>
  <c r="J49" i="12"/>
  <c r="P49" i="12" s="1"/>
  <c r="L49" i="12"/>
  <c r="M49" i="12"/>
  <c r="N49" i="12"/>
  <c r="O49" i="12"/>
  <c r="D50" i="12"/>
  <c r="J50" i="12"/>
  <c r="L50" i="12"/>
  <c r="M50" i="12"/>
  <c r="N50" i="12"/>
  <c r="O50" i="12"/>
  <c r="D51" i="12"/>
  <c r="B160" i="10" s="1"/>
  <c r="I162" i="9" s="1"/>
  <c r="B102" i="10"/>
  <c r="I104" i="9" s="1"/>
  <c r="J51" i="12"/>
  <c r="M51" i="12"/>
  <c r="N51" i="12"/>
  <c r="O51" i="12"/>
  <c r="D52" i="12"/>
  <c r="J52" i="12"/>
  <c r="P52" i="12" s="1"/>
  <c r="L52" i="12"/>
  <c r="M52" i="12"/>
  <c r="N52" i="12"/>
  <c r="O52" i="12"/>
  <c r="D53" i="12"/>
  <c r="B162" i="10" s="1"/>
  <c r="J53" i="12"/>
  <c r="P53" i="12" s="1"/>
  <c r="L53" i="12"/>
  <c r="M53" i="12"/>
  <c r="N53" i="12"/>
  <c r="O53" i="12"/>
  <c r="D54" i="12"/>
  <c r="B87" i="10"/>
  <c r="I89" i="9" s="1"/>
  <c r="J54" i="12"/>
  <c r="L54" i="12"/>
  <c r="M54" i="12"/>
  <c r="N54" i="12"/>
  <c r="O54" i="12"/>
  <c r="D55" i="12"/>
  <c r="J55" i="12"/>
  <c r="P55" i="12" s="1"/>
  <c r="M55" i="12"/>
  <c r="N55" i="12"/>
  <c r="O55" i="12"/>
  <c r="D56" i="12"/>
  <c r="J56" i="12"/>
  <c r="P56" i="12" s="1"/>
  <c r="L56" i="12"/>
  <c r="M56" i="12"/>
  <c r="N56" i="12"/>
  <c r="O56" i="12"/>
  <c r="D57" i="12"/>
  <c r="B166" i="10" s="1"/>
  <c r="D163" i="16" s="1"/>
  <c r="J57" i="12"/>
  <c r="P57" i="12" s="1"/>
  <c r="L163" i="16" s="1"/>
  <c r="L57" i="12"/>
  <c r="M57" i="12"/>
  <c r="N57" i="12"/>
  <c r="O57" i="12"/>
  <c r="D58" i="12"/>
  <c r="B167" i="10" s="1"/>
  <c r="D164" i="16" s="1"/>
  <c r="J58" i="12"/>
  <c r="L58" i="12"/>
  <c r="M58" i="12"/>
  <c r="N58" i="12"/>
  <c r="O58" i="12"/>
  <c r="D59" i="12"/>
  <c r="J59" i="12"/>
  <c r="P59" i="12" s="1"/>
  <c r="M59" i="12"/>
  <c r="N59" i="12"/>
  <c r="O59" i="12"/>
  <c r="D60" i="12"/>
  <c r="B169" i="10" s="1"/>
  <c r="I171" i="9" s="1"/>
  <c r="J60" i="12"/>
  <c r="P60" i="12" s="1"/>
  <c r="L60" i="12"/>
  <c r="M60" i="12"/>
  <c r="N60" i="12"/>
  <c r="O60" i="12"/>
  <c r="D61" i="12"/>
  <c r="J61" i="12"/>
  <c r="P61" i="12" s="1"/>
  <c r="L61" i="12"/>
  <c r="M61" i="12"/>
  <c r="N61" i="12"/>
  <c r="O61" i="12"/>
  <c r="D62" i="12"/>
  <c r="B171" i="10" s="1"/>
  <c r="D168" i="16" s="1"/>
  <c r="J62" i="12"/>
  <c r="L62" i="12"/>
  <c r="M62" i="12"/>
  <c r="N62" i="12"/>
  <c r="O62" i="12"/>
  <c r="D63" i="12"/>
  <c r="B172" i="10" s="1"/>
  <c r="I174" i="9" s="1"/>
  <c r="J63" i="12"/>
  <c r="P63" i="12" s="1"/>
  <c r="L63" i="12"/>
  <c r="M63" i="12"/>
  <c r="N63" i="12"/>
  <c r="O63" i="12"/>
  <c r="D64" i="12"/>
  <c r="J64" i="12"/>
  <c r="P64" i="12" s="1"/>
  <c r="M64" i="12"/>
  <c r="N64" i="12"/>
  <c r="O64" i="12"/>
  <c r="D65" i="12"/>
  <c r="J65" i="12"/>
  <c r="P65" i="12" s="1"/>
  <c r="M65" i="12"/>
  <c r="N65" i="12"/>
  <c r="O65" i="12"/>
  <c r="D66" i="12"/>
  <c r="J66" i="12"/>
  <c r="L66" i="12"/>
  <c r="M66" i="12"/>
  <c r="N66" i="12"/>
  <c r="O66" i="12"/>
  <c r="D67" i="12"/>
  <c r="J67" i="12"/>
  <c r="L67" i="12"/>
  <c r="M67" i="12"/>
  <c r="N67" i="12"/>
  <c r="O67" i="12"/>
  <c r="D68" i="12"/>
  <c r="J68" i="12"/>
  <c r="P68" i="12" s="1"/>
  <c r="M68" i="12"/>
  <c r="N68" i="12"/>
  <c r="O68" i="12"/>
  <c r="D69" i="12"/>
  <c r="B178" i="10" s="1"/>
  <c r="D175" i="16" s="1"/>
  <c r="J69" i="12"/>
  <c r="M69" i="12"/>
  <c r="N69" i="12"/>
  <c r="O69" i="12"/>
  <c r="D70" i="12"/>
  <c r="B179" i="10" s="1"/>
  <c r="I181" i="9" s="1"/>
  <c r="J70" i="12"/>
  <c r="L70" i="12"/>
  <c r="M70" i="12"/>
  <c r="N70" i="12"/>
  <c r="O70" i="12"/>
  <c r="D71" i="12"/>
  <c r="J71" i="12"/>
  <c r="L71" i="12"/>
  <c r="M71" i="12"/>
  <c r="N71" i="12"/>
  <c r="O71" i="12"/>
  <c r="D72" i="12"/>
  <c r="B181" i="10" s="1"/>
  <c r="J72" i="12"/>
  <c r="P72" i="12" s="1"/>
  <c r="L178" i="16" s="1"/>
  <c r="M72" i="12"/>
  <c r="N72" i="12"/>
  <c r="O72" i="12"/>
  <c r="D73" i="12"/>
  <c r="B182" i="10" s="1"/>
  <c r="J73" i="12"/>
  <c r="P73" i="12" s="1"/>
  <c r="L179" i="16" s="1"/>
  <c r="M73" i="12"/>
  <c r="N73" i="12"/>
  <c r="O73" i="12"/>
  <c r="D74" i="12"/>
  <c r="B183" i="10" s="1"/>
  <c r="J74" i="12"/>
  <c r="L74" i="12"/>
  <c r="M74" i="12"/>
  <c r="N74" i="12"/>
  <c r="O74" i="12"/>
  <c r="D75" i="12"/>
  <c r="B184" i="10" s="1"/>
  <c r="J75" i="12"/>
  <c r="P75" i="12" s="1"/>
  <c r="L181" i="16" s="1"/>
  <c r="L75" i="12"/>
  <c r="M75" i="12"/>
  <c r="N75" i="12"/>
  <c r="O75" i="12"/>
  <c r="D76" i="12"/>
  <c r="B185" i="10" s="1"/>
  <c r="J76" i="12"/>
  <c r="P76" i="12" s="1"/>
  <c r="L182" i="16" s="1"/>
  <c r="L76" i="12"/>
  <c r="M76" i="12"/>
  <c r="N76" i="12"/>
  <c r="O76" i="12"/>
  <c r="D77" i="12"/>
  <c r="B186" i="10" s="1"/>
  <c r="J77" i="12"/>
  <c r="P77" i="12" s="1"/>
  <c r="L183" i="16" s="1"/>
  <c r="M77" i="12"/>
  <c r="N77" i="12"/>
  <c r="O77" i="12"/>
  <c r="D78" i="12"/>
  <c r="B187" i="10" s="1"/>
  <c r="J78" i="12"/>
  <c r="M78" i="12"/>
  <c r="N78" i="12"/>
  <c r="O78" i="12"/>
  <c r="D79" i="12"/>
  <c r="B188" i="10" s="1"/>
  <c r="J79" i="12"/>
  <c r="P79" i="12" s="1"/>
  <c r="L185" i="16" s="1"/>
  <c r="L79" i="12"/>
  <c r="M79" i="12"/>
  <c r="N79" i="12"/>
  <c r="O79" i="12"/>
  <c r="D80" i="12"/>
  <c r="B189" i="10" s="1"/>
  <c r="J80" i="12"/>
  <c r="P80" i="12" s="1"/>
  <c r="L186" i="16" s="1"/>
  <c r="L80" i="12"/>
  <c r="M80" i="12"/>
  <c r="N80" i="12"/>
  <c r="O80" i="12"/>
  <c r="D81" i="12"/>
  <c r="B190" i="10" s="1"/>
  <c r="J81" i="12"/>
  <c r="P81" i="12" s="1"/>
  <c r="L187" i="16" s="1"/>
  <c r="M81" i="12"/>
  <c r="N81" i="12"/>
  <c r="O81" i="12"/>
  <c r="D82" i="12"/>
  <c r="B191" i="10" s="1"/>
  <c r="J82" i="12"/>
  <c r="L82" i="12"/>
  <c r="M82" i="12"/>
  <c r="N82" i="12"/>
  <c r="O82" i="12"/>
  <c r="D83" i="12"/>
  <c r="B192" i="10" s="1"/>
  <c r="J83" i="12"/>
  <c r="P83" i="12" s="1"/>
  <c r="L189" i="16" s="1"/>
  <c r="L83" i="12"/>
  <c r="M83" i="12"/>
  <c r="N83" i="12"/>
  <c r="O83" i="12"/>
  <c r="D84" i="12"/>
  <c r="B193" i="10" s="1"/>
  <c r="J84" i="12"/>
  <c r="L84" i="12"/>
  <c r="M84" i="12"/>
  <c r="N84" i="12"/>
  <c r="O84" i="12"/>
  <c r="D85" i="12"/>
  <c r="B194" i="10" s="1"/>
  <c r="B93" i="10"/>
  <c r="D90" i="16" s="1"/>
  <c r="J85" i="12"/>
  <c r="P85" i="12" s="1"/>
  <c r="L191" i="16" s="1"/>
  <c r="M85" i="12"/>
  <c r="N85" i="12"/>
  <c r="O85" i="12"/>
  <c r="D86" i="12"/>
  <c r="B195" i="10" s="1"/>
  <c r="B99" i="10"/>
  <c r="D96" i="16" s="1"/>
  <c r="J86" i="12"/>
  <c r="L86" i="12"/>
  <c r="M86" i="12"/>
  <c r="N86" i="12"/>
  <c r="O86" i="12"/>
  <c r="D87" i="12"/>
  <c r="B196" i="10" s="1"/>
  <c r="J87" i="12"/>
  <c r="L87" i="12"/>
  <c r="M87" i="12"/>
  <c r="N87" i="12"/>
  <c r="O87" i="12"/>
  <c r="D88" i="12"/>
  <c r="B197" i="10" s="1"/>
  <c r="J88" i="12"/>
  <c r="P88" i="12" s="1"/>
  <c r="L194" i="16" s="1"/>
  <c r="L88" i="12"/>
  <c r="M88" i="12"/>
  <c r="N88" i="12"/>
  <c r="O88" i="12"/>
  <c r="D89" i="12"/>
  <c r="B198" i="10" s="1"/>
  <c r="J89" i="12"/>
  <c r="M89" i="12"/>
  <c r="N89" i="12"/>
  <c r="O89" i="12"/>
  <c r="D90" i="12"/>
  <c r="B199" i="10" s="1"/>
  <c r="J90" i="12"/>
  <c r="L90" i="12"/>
  <c r="M90" i="12"/>
  <c r="N90" i="12"/>
  <c r="O90" i="12"/>
  <c r="D91" i="12"/>
  <c r="B200" i="10" s="1"/>
  <c r="J91" i="12"/>
  <c r="L91" i="12"/>
  <c r="M91" i="12"/>
  <c r="N91" i="12"/>
  <c r="O91" i="12"/>
  <c r="D92" i="12"/>
  <c r="B201" i="10" s="1"/>
  <c r="J92" i="12"/>
  <c r="P92" i="12" s="1"/>
  <c r="L198" i="16" s="1"/>
  <c r="L92" i="12"/>
  <c r="M92" i="12"/>
  <c r="N92" i="12"/>
  <c r="O92" i="12"/>
  <c r="D93" i="12"/>
  <c r="B202" i="10" s="1"/>
  <c r="J93" i="12"/>
  <c r="P93" i="12" s="1"/>
  <c r="L199" i="16" s="1"/>
  <c r="L93" i="12"/>
  <c r="M93" i="12"/>
  <c r="N93" i="12"/>
  <c r="O93" i="12"/>
  <c r="D94" i="12"/>
  <c r="B203" i="10" s="1"/>
  <c r="J94" i="12"/>
  <c r="L94" i="12"/>
  <c r="M94" i="12"/>
  <c r="N94" i="12"/>
  <c r="O94" i="12"/>
  <c r="D95" i="12"/>
  <c r="B204" i="10" s="1"/>
  <c r="J95" i="12"/>
  <c r="P95" i="12" s="1"/>
  <c r="L201" i="16" s="1"/>
  <c r="L95" i="12"/>
  <c r="M95" i="12"/>
  <c r="N95" i="12"/>
  <c r="O95" i="12"/>
  <c r="D96" i="12"/>
  <c r="B205" i="10" s="1"/>
  <c r="J96" i="12"/>
  <c r="P96" i="12" s="1"/>
  <c r="L202" i="16" s="1"/>
  <c r="L96" i="12"/>
  <c r="M96" i="12"/>
  <c r="N96" i="12"/>
  <c r="O96" i="12"/>
  <c r="D97" i="12"/>
  <c r="B206" i="10" s="1"/>
  <c r="J97" i="12"/>
  <c r="L97" i="12"/>
  <c r="M97" i="12"/>
  <c r="N97" i="12"/>
  <c r="O97" i="12"/>
  <c r="D98" i="12"/>
  <c r="B207" i="10" s="1"/>
  <c r="J98" i="12"/>
  <c r="L98" i="12"/>
  <c r="M98" i="12"/>
  <c r="N98" i="12"/>
  <c r="O98" i="12"/>
  <c r="D99" i="12"/>
  <c r="B208" i="10" s="1"/>
  <c r="J99" i="12"/>
  <c r="L99" i="12"/>
  <c r="M99" i="12"/>
  <c r="N99" i="12"/>
  <c r="O99" i="12"/>
  <c r="D100" i="12"/>
  <c r="B209" i="10" s="1"/>
  <c r="J100" i="12"/>
  <c r="P100" i="12" s="1"/>
  <c r="L206" i="16" s="1"/>
  <c r="L100" i="12"/>
  <c r="M100" i="12"/>
  <c r="N100" i="12"/>
  <c r="O100" i="12"/>
  <c r="D101" i="12"/>
  <c r="B210" i="10" s="1"/>
  <c r="J101" i="12"/>
  <c r="L101" i="12"/>
  <c r="M101" i="12"/>
  <c r="N101" i="12"/>
  <c r="O101" i="12"/>
  <c r="D102" i="12"/>
  <c r="B11" i="10" s="1"/>
  <c r="I13" i="9" s="1"/>
  <c r="J102" i="12"/>
  <c r="L102" i="12"/>
  <c r="M102" i="12"/>
  <c r="N102" i="12"/>
  <c r="O102" i="12"/>
  <c r="D103" i="12"/>
  <c r="B12" i="10" s="1"/>
  <c r="D9" i="16" s="1"/>
  <c r="J103" i="12"/>
  <c r="P103" i="12" s="1"/>
  <c r="L103" i="12"/>
  <c r="M103" i="12"/>
  <c r="N103" i="12"/>
  <c r="O103" i="12"/>
  <c r="D104" i="12"/>
  <c r="B13" i="10" s="1"/>
  <c r="D10" i="16" s="1"/>
  <c r="B176" i="10"/>
  <c r="I178" i="9" s="1"/>
  <c r="J104" i="12"/>
  <c r="P104" i="12" s="1"/>
  <c r="L104" i="12"/>
  <c r="M104" i="12"/>
  <c r="N104" i="12"/>
  <c r="O104" i="12"/>
  <c r="D105" i="12"/>
  <c r="B14" i="10" s="1"/>
  <c r="D11" i="16" s="1"/>
  <c r="J105" i="12"/>
  <c r="P105" i="12" s="1"/>
  <c r="L105" i="12"/>
  <c r="M105" i="12"/>
  <c r="N105" i="12"/>
  <c r="O105" i="12"/>
  <c r="D106" i="12"/>
  <c r="J106" i="12"/>
  <c r="L106" i="12"/>
  <c r="M106" i="12"/>
  <c r="N106" i="12"/>
  <c r="O106" i="12"/>
  <c r="D107" i="12"/>
  <c r="J107" i="12"/>
  <c r="P107" i="12" s="1"/>
  <c r="L107" i="12"/>
  <c r="M107" i="12"/>
  <c r="N107" i="12"/>
  <c r="O107" i="12"/>
  <c r="D108" i="12"/>
  <c r="J108" i="12"/>
  <c r="L108" i="12"/>
  <c r="M108" i="12"/>
  <c r="N108" i="12"/>
  <c r="O108" i="12"/>
  <c r="D109" i="12"/>
  <c r="J109" i="12"/>
  <c r="L109" i="12"/>
  <c r="M109" i="12"/>
  <c r="N109" i="12"/>
  <c r="O109" i="12"/>
  <c r="D110" i="12"/>
  <c r="J110" i="12"/>
  <c r="L110" i="12"/>
  <c r="M110" i="12"/>
  <c r="N110" i="12"/>
  <c r="O110" i="12"/>
  <c r="D111" i="12"/>
  <c r="J111" i="12"/>
  <c r="P111" i="12" s="1"/>
  <c r="L111" i="12"/>
  <c r="M111" i="12"/>
  <c r="N111" i="12"/>
  <c r="O111" i="12"/>
  <c r="D112" i="12"/>
  <c r="J112" i="12"/>
  <c r="L112" i="12"/>
  <c r="M112" i="12"/>
  <c r="N112" i="12"/>
  <c r="O112" i="12"/>
  <c r="D113" i="12"/>
  <c r="J113" i="12"/>
  <c r="P113" i="12" s="1"/>
  <c r="L113" i="12"/>
  <c r="M113" i="12"/>
  <c r="N113" i="12"/>
  <c r="O113" i="12"/>
  <c r="D114" i="12"/>
  <c r="B126" i="10"/>
  <c r="D123" i="16" s="1"/>
  <c r="J114" i="12"/>
  <c r="L114" i="12"/>
  <c r="M114" i="12"/>
  <c r="N114" i="12"/>
  <c r="O114" i="12"/>
  <c r="D115" i="12"/>
  <c r="J115" i="12"/>
  <c r="P115" i="12" s="1"/>
  <c r="L115" i="12"/>
  <c r="M115" i="12"/>
  <c r="N115" i="12"/>
  <c r="O115" i="12"/>
  <c r="D116" i="12"/>
  <c r="B116" i="10"/>
  <c r="I118" i="9" s="1"/>
  <c r="J116" i="12"/>
  <c r="L116" i="12"/>
  <c r="M116" i="12"/>
  <c r="N116" i="12"/>
  <c r="O116" i="12"/>
  <c r="D117" i="12"/>
  <c r="J117" i="12"/>
  <c r="P117" i="12" s="1"/>
  <c r="L117" i="12"/>
  <c r="M117" i="12"/>
  <c r="N117" i="12"/>
  <c r="O117" i="12"/>
  <c r="D118" i="12"/>
  <c r="J118" i="12"/>
  <c r="L118" i="12"/>
  <c r="M118" i="12"/>
  <c r="N118" i="12"/>
  <c r="O118" i="12"/>
  <c r="D119" i="12"/>
  <c r="J119" i="12"/>
  <c r="L119" i="12"/>
  <c r="M119" i="12"/>
  <c r="N119" i="12"/>
  <c r="O119" i="12"/>
  <c r="D120" i="12"/>
  <c r="J120" i="12"/>
  <c r="L120" i="12"/>
  <c r="M120" i="12"/>
  <c r="N120" i="12"/>
  <c r="O120" i="12"/>
  <c r="D121" i="12"/>
  <c r="J121" i="12"/>
  <c r="L121" i="12"/>
  <c r="M121" i="12"/>
  <c r="N121" i="12"/>
  <c r="O121" i="12"/>
  <c r="D122" i="12"/>
  <c r="J122" i="12"/>
  <c r="L122" i="12"/>
  <c r="M122" i="12"/>
  <c r="N122" i="12"/>
  <c r="O122" i="12"/>
  <c r="D123" i="12"/>
  <c r="J123" i="12"/>
  <c r="P123" i="12" s="1"/>
  <c r="L123" i="12"/>
  <c r="M123" i="12"/>
  <c r="N123" i="12"/>
  <c r="O123" i="12"/>
  <c r="D124" i="12"/>
  <c r="J124" i="12"/>
  <c r="P124" i="12" s="1"/>
  <c r="L124" i="12"/>
  <c r="M124" i="12"/>
  <c r="N124" i="12"/>
  <c r="O124" i="12"/>
  <c r="D125" i="12"/>
  <c r="J125" i="12"/>
  <c r="P125" i="12" s="1"/>
  <c r="L125" i="12"/>
  <c r="M125" i="12"/>
  <c r="N125" i="12"/>
  <c r="O125" i="12"/>
  <c r="D126" i="12"/>
  <c r="J126" i="12"/>
  <c r="P126" i="12" s="1"/>
  <c r="L126" i="12"/>
  <c r="M126" i="12"/>
  <c r="N126" i="12"/>
  <c r="O126" i="12"/>
  <c r="D127" i="12"/>
  <c r="J127" i="12"/>
  <c r="L127" i="12"/>
  <c r="M127" i="12"/>
  <c r="N127" i="12"/>
  <c r="O127" i="12"/>
  <c r="D128" i="12"/>
  <c r="J128" i="12"/>
  <c r="P128" i="12" s="1"/>
  <c r="L128" i="12"/>
  <c r="M128" i="12"/>
  <c r="N128" i="12"/>
  <c r="O128" i="12"/>
  <c r="D129" i="12"/>
  <c r="J129" i="12"/>
  <c r="P129" i="12" s="1"/>
  <c r="L129" i="12"/>
  <c r="M129" i="12"/>
  <c r="N129" i="12"/>
  <c r="O129" i="12"/>
  <c r="D130" i="12"/>
  <c r="J130" i="12"/>
  <c r="L130" i="12"/>
  <c r="M130" i="12"/>
  <c r="N130" i="12"/>
  <c r="O130" i="12"/>
  <c r="D131" i="12"/>
  <c r="B41" i="10"/>
  <c r="D38" i="16" s="1"/>
  <c r="J131" i="12"/>
  <c r="L131" i="12"/>
  <c r="M131" i="12"/>
  <c r="N131" i="12"/>
  <c r="O131" i="12"/>
  <c r="D132" i="12"/>
  <c r="J132" i="12"/>
  <c r="L132" i="12"/>
  <c r="M132" i="12"/>
  <c r="N132" i="12"/>
  <c r="O132" i="12"/>
  <c r="D133" i="12"/>
  <c r="B42" i="10" s="1"/>
  <c r="D39" i="16" s="1"/>
  <c r="J133" i="12"/>
  <c r="P133" i="12" s="1"/>
  <c r="L133" i="12"/>
  <c r="M133" i="12"/>
  <c r="N133" i="12"/>
  <c r="O133" i="12"/>
  <c r="D134" i="12"/>
  <c r="J134" i="12"/>
  <c r="L134" i="12"/>
  <c r="M134" i="12"/>
  <c r="N134" i="12"/>
  <c r="O134" i="12"/>
  <c r="D135" i="12"/>
  <c r="B44" i="10" s="1"/>
  <c r="D41" i="16" s="1"/>
  <c r="J135" i="12"/>
  <c r="L135" i="12"/>
  <c r="M135" i="12"/>
  <c r="N135" i="12"/>
  <c r="O135" i="12"/>
  <c r="D136" i="12"/>
  <c r="B45" i="10" s="1"/>
  <c r="I47" i="9" s="1"/>
  <c r="J136" i="12"/>
  <c r="P136" i="12" s="1"/>
  <c r="L136" i="12"/>
  <c r="M136" i="12"/>
  <c r="N136" i="12"/>
  <c r="O136" i="12"/>
  <c r="D137" i="12"/>
  <c r="B46" i="10" s="1"/>
  <c r="D43" i="16" s="1"/>
  <c r="J137" i="12"/>
  <c r="P137" i="12" s="1"/>
  <c r="L137" i="12"/>
  <c r="M137" i="12"/>
  <c r="N137" i="12"/>
  <c r="O137" i="12"/>
  <c r="D138" i="12"/>
  <c r="J138" i="12"/>
  <c r="L138" i="12"/>
  <c r="M138" i="12"/>
  <c r="N138" i="12"/>
  <c r="O138" i="12"/>
  <c r="D139" i="12"/>
  <c r="B48" i="10" s="1"/>
  <c r="I50" i="9" s="1"/>
  <c r="J139" i="12"/>
  <c r="P139" i="12" s="1"/>
  <c r="L139" i="12"/>
  <c r="M139" i="12"/>
  <c r="N139" i="12"/>
  <c r="O139" i="12"/>
  <c r="D140" i="12"/>
  <c r="J140" i="12"/>
  <c r="P140" i="12" s="1"/>
  <c r="L140" i="12"/>
  <c r="M140" i="12"/>
  <c r="N140" i="12"/>
  <c r="O140" i="12"/>
  <c r="D141" i="12"/>
  <c r="B50" i="10" s="1"/>
  <c r="D47" i="16" s="1"/>
  <c r="J141" i="12"/>
  <c r="P141" i="12" s="1"/>
  <c r="L141" i="12"/>
  <c r="M141" i="12"/>
  <c r="N141" i="12"/>
  <c r="O141" i="12"/>
  <c r="D142" i="12"/>
  <c r="B51" i="10" s="1"/>
  <c r="I53" i="9" s="1"/>
  <c r="J142" i="12"/>
  <c r="L142" i="12"/>
  <c r="M142" i="12"/>
  <c r="N142" i="12"/>
  <c r="O142" i="12"/>
  <c r="D143" i="12"/>
  <c r="B52" i="10" s="1"/>
  <c r="D49" i="16" s="1"/>
  <c r="J143" i="12"/>
  <c r="P143" i="12" s="1"/>
  <c r="L143" i="12"/>
  <c r="M143" i="12"/>
  <c r="N143" i="12"/>
  <c r="O143" i="12"/>
  <c r="D144" i="12"/>
  <c r="J144" i="12"/>
  <c r="P144" i="12" s="1"/>
  <c r="L144" i="12"/>
  <c r="M144" i="12"/>
  <c r="N144" i="12"/>
  <c r="O144" i="12"/>
  <c r="D145" i="12"/>
  <c r="B54" i="10" s="1"/>
  <c r="D51" i="16" s="1"/>
  <c r="J145" i="12"/>
  <c r="P145" i="12" s="1"/>
  <c r="L145" i="12"/>
  <c r="M145" i="12"/>
  <c r="N145" i="12"/>
  <c r="O145" i="12"/>
  <c r="D146" i="12"/>
  <c r="B55" i="10" s="1"/>
  <c r="I57" i="9" s="1"/>
  <c r="J146" i="12"/>
  <c r="L146" i="12"/>
  <c r="M146" i="12"/>
  <c r="N146" i="12"/>
  <c r="O146" i="12"/>
  <c r="D147" i="12"/>
  <c r="B56" i="10" s="1"/>
  <c r="D53" i="16" s="1"/>
  <c r="J147" i="12"/>
  <c r="L147" i="12"/>
  <c r="M147" i="12"/>
  <c r="N147" i="12"/>
  <c r="O147" i="12"/>
  <c r="D148" i="12"/>
  <c r="J148" i="12"/>
  <c r="L148" i="12"/>
  <c r="M148" i="12"/>
  <c r="N148" i="12"/>
  <c r="O148" i="12"/>
  <c r="D149" i="12"/>
  <c r="B58" i="10" s="1"/>
  <c r="I60" i="9" s="1"/>
  <c r="J149" i="12"/>
  <c r="P149" i="12" s="1"/>
  <c r="L149" i="12"/>
  <c r="M149" i="12"/>
  <c r="N149" i="12"/>
  <c r="O149" i="12"/>
  <c r="D150" i="12"/>
  <c r="J150" i="12"/>
  <c r="L150" i="12"/>
  <c r="M150" i="12"/>
  <c r="N150" i="12"/>
  <c r="O150" i="12"/>
  <c r="D151" i="12"/>
  <c r="B60" i="10" s="1"/>
  <c r="D57" i="16" s="1"/>
  <c r="J151" i="12"/>
  <c r="L151" i="12"/>
  <c r="M151" i="12"/>
  <c r="N151" i="12"/>
  <c r="O151" i="12"/>
  <c r="F2" i="21"/>
  <c r="H13" i="10"/>
  <c r="F10" i="16" s="1"/>
  <c r="H14" i="10"/>
  <c r="H15" i="10"/>
  <c r="F17" i="9" s="1"/>
  <c r="H16" i="10"/>
  <c r="F18" i="9" s="1"/>
  <c r="H17" i="10"/>
  <c r="F14" i="16" s="1"/>
  <c r="H18" i="10"/>
  <c r="H19" i="10"/>
  <c r="F21" i="9" s="1"/>
  <c r="H20" i="10"/>
  <c r="F17" i="16" s="1"/>
  <c r="H21" i="10"/>
  <c r="F18" i="16" s="1"/>
  <c r="H22" i="10"/>
  <c r="H23" i="10"/>
  <c r="F25" i="9" s="1"/>
  <c r="H24" i="10"/>
  <c r="F21" i="16" s="1"/>
  <c r="H25" i="10"/>
  <c r="F22" i="16" s="1"/>
  <c r="H26" i="10"/>
  <c r="F28" i="9" s="1"/>
  <c r="H27" i="10"/>
  <c r="F29" i="9" s="1"/>
  <c r="H28" i="10"/>
  <c r="F30" i="9" s="1"/>
  <c r="H29" i="10"/>
  <c r="F26" i="16" s="1"/>
  <c r="H30" i="10"/>
  <c r="H31" i="10"/>
  <c r="F28" i="16" s="1"/>
  <c r="H32" i="10"/>
  <c r="F29" i="16" s="1"/>
  <c r="H33" i="10"/>
  <c r="F30" i="16" s="1"/>
  <c r="H34" i="10"/>
  <c r="F31" i="16" s="1"/>
  <c r="H35" i="10"/>
  <c r="F37" i="9" s="1"/>
  <c r="H36" i="10"/>
  <c r="F33" i="16" s="1"/>
  <c r="H37" i="10"/>
  <c r="F34" i="16" s="1"/>
  <c r="H38" i="10"/>
  <c r="H39" i="10"/>
  <c r="F36" i="16" s="1"/>
  <c r="H40" i="10"/>
  <c r="F37" i="16" s="1"/>
  <c r="H41" i="10"/>
  <c r="F38" i="16" s="1"/>
  <c r="H42" i="10"/>
  <c r="F39" i="16" s="1"/>
  <c r="H43" i="10"/>
  <c r="F40" i="16" s="1"/>
  <c r="H44" i="10"/>
  <c r="F41" i="16" s="1"/>
  <c r="H45" i="10"/>
  <c r="F42" i="16" s="1"/>
  <c r="H46" i="10"/>
  <c r="H47" i="10"/>
  <c r="F49" i="9" s="1"/>
  <c r="H48" i="10"/>
  <c r="F50" i="9" s="1"/>
  <c r="H49" i="10"/>
  <c r="F51" i="9" s="1"/>
  <c r="H50" i="10"/>
  <c r="F52" i="9" s="1"/>
  <c r="H51" i="10"/>
  <c r="F48" i="16" s="1"/>
  <c r="H52" i="10"/>
  <c r="F54" i="9" s="1"/>
  <c r="H53" i="10"/>
  <c r="F55" i="9" s="1"/>
  <c r="H54" i="10"/>
  <c r="H55" i="10"/>
  <c r="F52" i="16" s="1"/>
  <c r="H56" i="10"/>
  <c r="F53" i="16" s="1"/>
  <c r="H57" i="10"/>
  <c r="F54" i="16" s="1"/>
  <c r="H58" i="10"/>
  <c r="H59" i="10"/>
  <c r="F56" i="16" s="1"/>
  <c r="H60" i="10"/>
  <c r="F57" i="16" s="1"/>
  <c r="H61" i="10"/>
  <c r="F58" i="16" s="1"/>
  <c r="H62" i="10"/>
  <c r="H63" i="10"/>
  <c r="F60" i="16" s="1"/>
  <c r="H64" i="10"/>
  <c r="F66" i="9" s="1"/>
  <c r="H65" i="10"/>
  <c r="F67" i="9" s="1"/>
  <c r="H66" i="10"/>
  <c r="H67" i="10"/>
  <c r="F64" i="16" s="1"/>
  <c r="H68" i="10"/>
  <c r="F70" i="9" s="1"/>
  <c r="H69" i="10"/>
  <c r="F71" i="9" s="1"/>
  <c r="H70" i="10"/>
  <c r="F67" i="16" s="1"/>
  <c r="H71" i="10"/>
  <c r="F68" i="16" s="1"/>
  <c r="H72" i="10"/>
  <c r="F69" i="16" s="1"/>
  <c r="H73" i="10"/>
  <c r="F75" i="9" s="1"/>
  <c r="H74" i="10"/>
  <c r="H75" i="10"/>
  <c r="F72" i="16" s="1"/>
  <c r="H76" i="10"/>
  <c r="F78" i="9" s="1"/>
  <c r="H77" i="10"/>
  <c r="F74" i="16" s="1"/>
  <c r="H78" i="10"/>
  <c r="H79" i="10"/>
  <c r="F81" i="9" s="1"/>
  <c r="H80" i="10"/>
  <c r="F82" i="9" s="1"/>
  <c r="H81" i="10"/>
  <c r="F78" i="16" s="1"/>
  <c r="H82" i="10"/>
  <c r="H83" i="10"/>
  <c r="F85" i="9" s="1"/>
  <c r="H84" i="10"/>
  <c r="F81" i="16" s="1"/>
  <c r="H85" i="10"/>
  <c r="F82" i="16" s="1"/>
  <c r="H86" i="10"/>
  <c r="H87" i="10"/>
  <c r="F84" i="16" s="1"/>
  <c r="H88" i="10"/>
  <c r="F85" i="16" s="1"/>
  <c r="H89" i="10"/>
  <c r="F91" i="9" s="1"/>
  <c r="H90" i="10"/>
  <c r="H91" i="10"/>
  <c r="F88" i="16" s="1"/>
  <c r="H92" i="10"/>
  <c r="F94" i="9" s="1"/>
  <c r="H93" i="10"/>
  <c r="F90" i="16" s="1"/>
  <c r="H94" i="10"/>
  <c r="H95" i="10"/>
  <c r="F97" i="9" s="1"/>
  <c r="H96" i="10"/>
  <c r="F98" i="9" s="1"/>
  <c r="H97" i="10"/>
  <c r="F99" i="9" s="1"/>
  <c r="H98" i="10"/>
  <c r="F95" i="16" s="1"/>
  <c r="H99" i="10"/>
  <c r="F101" i="9" s="1"/>
  <c r="H100" i="10"/>
  <c r="F102" i="9" s="1"/>
  <c r="H101" i="10"/>
  <c r="F98" i="16" s="1"/>
  <c r="H102" i="10"/>
  <c r="F104" i="9" s="1"/>
  <c r="H103" i="10"/>
  <c r="F100" i="16" s="1"/>
  <c r="H104" i="10"/>
  <c r="F101" i="16" s="1"/>
  <c r="H105" i="10"/>
  <c r="F107" i="9" s="1"/>
  <c r="H106" i="10"/>
  <c r="F108" i="9" s="1"/>
  <c r="H107" i="10"/>
  <c r="F109" i="9" s="1"/>
  <c r="H108" i="10"/>
  <c r="F110" i="9" s="1"/>
  <c r="H109" i="10"/>
  <c r="F111" i="9" s="1"/>
  <c r="H110" i="10"/>
  <c r="F107" i="16" s="1"/>
  <c r="H111" i="10"/>
  <c r="F113" i="9" s="1"/>
  <c r="H112" i="10"/>
  <c r="F114" i="9" s="1"/>
  <c r="H113" i="10"/>
  <c r="F110" i="16" s="1"/>
  <c r="H114" i="10"/>
  <c r="F116" i="9" s="1"/>
  <c r="H115" i="10"/>
  <c r="F112" i="16" s="1"/>
  <c r="H116" i="10"/>
  <c r="F113" i="16" s="1"/>
  <c r="H117" i="10"/>
  <c r="F119" i="9" s="1"/>
  <c r="H118" i="10"/>
  <c r="F120" i="9" s="1"/>
  <c r="H119" i="10"/>
  <c r="F121" i="9" s="1"/>
  <c r="H120" i="10"/>
  <c r="F122" i="9" s="1"/>
  <c r="H121" i="10"/>
  <c r="F118" i="16" s="1"/>
  <c r="H122" i="10"/>
  <c r="H123" i="10"/>
  <c r="F125" i="9" s="1"/>
  <c r="H124" i="10"/>
  <c r="F126" i="9" s="1"/>
  <c r="H125" i="10"/>
  <c r="F122" i="16" s="1"/>
  <c r="H126" i="10"/>
  <c r="H127" i="10"/>
  <c r="F124" i="16" s="1"/>
  <c r="H128" i="10"/>
  <c r="F130" i="9" s="1"/>
  <c r="H129" i="10"/>
  <c r="F131" i="9" s="1"/>
  <c r="H130" i="10"/>
  <c r="H131" i="10"/>
  <c r="F128" i="16" s="1"/>
  <c r="H132" i="10"/>
  <c r="F134" i="9" s="1"/>
  <c r="H133" i="10"/>
  <c r="F130" i="16" s="1"/>
  <c r="H134" i="10"/>
  <c r="F131" i="16" s="1"/>
  <c r="H135" i="10"/>
  <c r="F132" i="16" s="1"/>
  <c r="H136" i="10"/>
  <c r="F133" i="16" s="1"/>
  <c r="H137" i="10"/>
  <c r="F139" i="9" s="1"/>
  <c r="H138" i="10"/>
  <c r="H139" i="10"/>
  <c r="F136" i="16" s="1"/>
  <c r="H140" i="10"/>
  <c r="F142" i="9" s="1"/>
  <c r="H141" i="10"/>
  <c r="F138" i="16" s="1"/>
  <c r="H142" i="10"/>
  <c r="F144" i="9" s="1"/>
  <c r="H143" i="10"/>
  <c r="F140" i="16" s="1"/>
  <c r="H144" i="10"/>
  <c r="F146" i="9" s="1"/>
  <c r="H145" i="10"/>
  <c r="F147" i="9" s="1"/>
  <c r="H146" i="10"/>
  <c r="H147" i="10"/>
  <c r="F144" i="16" s="1"/>
  <c r="H148" i="10"/>
  <c r="F145" i="16" s="1"/>
  <c r="H149" i="10"/>
  <c r="F146" i="16" s="1"/>
  <c r="H150" i="10"/>
  <c r="F147" i="16" s="1"/>
  <c r="H151" i="10"/>
  <c r="F153" i="9" s="1"/>
  <c r="H152" i="10"/>
  <c r="F149" i="16" s="1"/>
  <c r="H153" i="10"/>
  <c r="F155" i="9" s="1"/>
  <c r="H154" i="10"/>
  <c r="F156" i="9" s="1"/>
  <c r="H155" i="10"/>
  <c r="F152" i="16" s="1"/>
  <c r="H156" i="10"/>
  <c r="F153" i="16" s="1"/>
  <c r="H157" i="10"/>
  <c r="F159" i="9" s="1"/>
  <c r="H158" i="10"/>
  <c r="H159" i="10"/>
  <c r="F161" i="9" s="1"/>
  <c r="H160" i="10"/>
  <c r="F162" i="9" s="1"/>
  <c r="H161" i="10"/>
  <c r="F163" i="9" s="1"/>
  <c r="H162" i="10"/>
  <c r="H163" i="10"/>
  <c r="F160" i="16" s="1"/>
  <c r="H164" i="10"/>
  <c r="F166" i="9" s="1"/>
  <c r="H165" i="10"/>
  <c r="F162" i="16" s="1"/>
  <c r="H166" i="10"/>
  <c r="H167" i="10"/>
  <c r="F164" i="16" s="1"/>
  <c r="H168" i="10"/>
  <c r="F170" i="9" s="1"/>
  <c r="H169" i="10"/>
  <c r="F171" i="9" s="1"/>
  <c r="H170" i="10"/>
  <c r="F167" i="16" s="1"/>
  <c r="H171" i="10"/>
  <c r="F168" i="16" s="1"/>
  <c r="H172" i="10"/>
  <c r="F169" i="16" s="1"/>
  <c r="H173" i="10"/>
  <c r="F170" i="16" s="1"/>
  <c r="H174" i="10"/>
  <c r="F176" i="9" s="1"/>
  <c r="H175" i="10"/>
  <c r="F172" i="16" s="1"/>
  <c r="H176" i="10"/>
  <c r="F178" i="9" s="1"/>
  <c r="H177" i="10"/>
  <c r="F174" i="16" s="1"/>
  <c r="H178" i="10"/>
  <c r="H179" i="10"/>
  <c r="F176" i="16" s="1"/>
  <c r="H180" i="10"/>
  <c r="F182" i="9" s="1"/>
  <c r="H12" i="10"/>
  <c r="F14" i="9" s="1"/>
  <c r="H11" i="10"/>
  <c r="F13" i="10"/>
  <c r="Y15" i="9" s="1"/>
  <c r="F14" i="10"/>
  <c r="Y16" i="9" s="1"/>
  <c r="F15" i="10"/>
  <c r="G12" i="16" s="1"/>
  <c r="F16" i="10"/>
  <c r="F17" i="10"/>
  <c r="Y19" i="9" s="1"/>
  <c r="F18" i="10"/>
  <c r="Y20" i="9" s="1"/>
  <c r="F19" i="10"/>
  <c r="G16" i="16" s="1"/>
  <c r="F20" i="10"/>
  <c r="F21" i="10"/>
  <c r="Y23" i="9" s="1"/>
  <c r="F22" i="10"/>
  <c r="Y24" i="9" s="1"/>
  <c r="F23" i="10"/>
  <c r="G20" i="16" s="1"/>
  <c r="F24" i="10"/>
  <c r="Y26" i="9" s="1"/>
  <c r="F25" i="10"/>
  <c r="Y27" i="9" s="1"/>
  <c r="F26" i="10"/>
  <c r="G23" i="16" s="1"/>
  <c r="F27" i="10"/>
  <c r="Y29" i="9" s="1"/>
  <c r="F28" i="10"/>
  <c r="F29" i="10"/>
  <c r="G26" i="16" s="1"/>
  <c r="F30" i="10"/>
  <c r="G27" i="16" s="1"/>
  <c r="F31" i="10"/>
  <c r="Y33" i="9" s="1"/>
  <c r="F32" i="10"/>
  <c r="F33" i="10"/>
  <c r="Y35" i="9" s="1"/>
  <c r="F34" i="10"/>
  <c r="G31" i="16" s="1"/>
  <c r="F35" i="10"/>
  <c r="G32" i="16" s="1"/>
  <c r="F36" i="10"/>
  <c r="G33" i="16" s="1"/>
  <c r="F37" i="10"/>
  <c r="G34" i="16" s="1"/>
  <c r="F38" i="10"/>
  <c r="Y40" i="9" s="1"/>
  <c r="F39" i="10"/>
  <c r="G36" i="16" s="1"/>
  <c r="F40" i="10"/>
  <c r="G37" i="16" s="1"/>
  <c r="F41" i="10"/>
  <c r="Y43" i="9" s="1"/>
  <c r="F42" i="10"/>
  <c r="G39" i="16" s="1"/>
  <c r="F43" i="10"/>
  <c r="Y45" i="9" s="1"/>
  <c r="F44" i="10"/>
  <c r="F45" i="10"/>
  <c r="G42" i="16" s="1"/>
  <c r="F46" i="10"/>
  <c r="G43" i="16" s="1"/>
  <c r="F47" i="10"/>
  <c r="Y49" i="9" s="1"/>
  <c r="F48" i="10"/>
  <c r="F49" i="10"/>
  <c r="G46" i="16" s="1"/>
  <c r="F50" i="10"/>
  <c r="G47" i="16" s="1"/>
  <c r="F51" i="10"/>
  <c r="G48" i="16" s="1"/>
  <c r="F52" i="10"/>
  <c r="F53" i="10"/>
  <c r="G50" i="16" s="1"/>
  <c r="F54" i="10"/>
  <c r="Y56" i="9" s="1"/>
  <c r="F55" i="10"/>
  <c r="G52" i="16" s="1"/>
  <c r="F56" i="10"/>
  <c r="F57" i="10"/>
  <c r="Y59" i="9" s="1"/>
  <c r="F58" i="10"/>
  <c r="G55" i="16" s="1"/>
  <c r="F59" i="10"/>
  <c r="G56" i="16" s="1"/>
  <c r="F60" i="10"/>
  <c r="F61" i="10"/>
  <c r="G58" i="16" s="1"/>
  <c r="F62" i="10"/>
  <c r="Y64" i="9" s="1"/>
  <c r="F63" i="10"/>
  <c r="Y65" i="9" s="1"/>
  <c r="F64" i="10"/>
  <c r="F65" i="10"/>
  <c r="Y67" i="9" s="1"/>
  <c r="F66" i="10"/>
  <c r="Y68" i="9" s="1"/>
  <c r="F67" i="10"/>
  <c r="Y69" i="9" s="1"/>
  <c r="F68" i="10"/>
  <c r="F69" i="10"/>
  <c r="Y71" i="9" s="1"/>
  <c r="F70" i="10"/>
  <c r="G67" i="16" s="1"/>
  <c r="F71" i="10"/>
  <c r="G68" i="16" s="1"/>
  <c r="F72" i="10"/>
  <c r="F73" i="10"/>
  <c r="Y75" i="9" s="1"/>
  <c r="F74" i="10"/>
  <c r="Y76" i="9" s="1"/>
  <c r="F75" i="10"/>
  <c r="Y77" i="9" s="1"/>
  <c r="F76" i="10"/>
  <c r="F77" i="10"/>
  <c r="G74" i="16" s="1"/>
  <c r="F78" i="10"/>
  <c r="Y80" i="9" s="1"/>
  <c r="F79" i="10"/>
  <c r="G76" i="16" s="1"/>
  <c r="F80" i="10"/>
  <c r="G77" i="16" s="1"/>
  <c r="F81" i="10"/>
  <c r="G78" i="16" s="1"/>
  <c r="F82" i="10"/>
  <c r="G79" i="16" s="1"/>
  <c r="F83" i="10"/>
  <c r="G80" i="16" s="1"/>
  <c r="F84" i="10"/>
  <c r="Y86" i="9" s="1"/>
  <c r="F85" i="10"/>
  <c r="Y87" i="9" s="1"/>
  <c r="F86" i="10"/>
  <c r="G83" i="16" s="1"/>
  <c r="F87" i="10"/>
  <c r="Y89" i="9" s="1"/>
  <c r="F88" i="10"/>
  <c r="F89" i="10"/>
  <c r="G86" i="16" s="1"/>
  <c r="F90" i="10"/>
  <c r="G87" i="16" s="1"/>
  <c r="F91" i="10"/>
  <c r="Y93" i="9" s="1"/>
  <c r="F92" i="10"/>
  <c r="F93" i="10"/>
  <c r="Y95" i="9" s="1"/>
  <c r="F94" i="10"/>
  <c r="Y96" i="9" s="1"/>
  <c r="F95" i="10"/>
  <c r="Y97" i="9" s="1"/>
  <c r="F96" i="10"/>
  <c r="F97" i="10"/>
  <c r="Y99" i="9" s="1"/>
  <c r="F98" i="10"/>
  <c r="Y100" i="9" s="1"/>
  <c r="F99" i="10"/>
  <c r="Y101" i="9" s="1"/>
  <c r="F100" i="10"/>
  <c r="F101" i="10"/>
  <c r="G98" i="16" s="1"/>
  <c r="F102" i="10"/>
  <c r="G99" i="16" s="1"/>
  <c r="F103" i="10"/>
  <c r="G100" i="16" s="1"/>
  <c r="F104" i="10"/>
  <c r="F105" i="10"/>
  <c r="Y107" i="9" s="1"/>
  <c r="F106" i="10"/>
  <c r="G103" i="16" s="1"/>
  <c r="F107" i="10"/>
  <c r="G104" i="16" s="1"/>
  <c r="F108" i="10"/>
  <c r="F109" i="10"/>
  <c r="Y111" i="9" s="1"/>
  <c r="F110" i="10"/>
  <c r="Y112" i="9" s="1"/>
  <c r="F111" i="10"/>
  <c r="G108" i="16" s="1"/>
  <c r="F112" i="10"/>
  <c r="F113" i="10"/>
  <c r="G110" i="16" s="1"/>
  <c r="F114" i="10"/>
  <c r="G111" i="16" s="1"/>
  <c r="F115" i="10"/>
  <c r="Y117" i="9" s="1"/>
  <c r="F116" i="10"/>
  <c r="F117" i="10"/>
  <c r="G114" i="16" s="1"/>
  <c r="F118" i="10"/>
  <c r="Y120" i="9" s="1"/>
  <c r="F119" i="10"/>
  <c r="G116" i="16" s="1"/>
  <c r="F120" i="10"/>
  <c r="F121" i="10"/>
  <c r="Y123" i="9" s="1"/>
  <c r="F122" i="10"/>
  <c r="G119" i="16" s="1"/>
  <c r="F123" i="10"/>
  <c r="G120" i="16" s="1"/>
  <c r="F124" i="10"/>
  <c r="Y126" i="9" s="1"/>
  <c r="F125" i="10"/>
  <c r="G122" i="16" s="1"/>
  <c r="F126" i="10"/>
  <c r="Y128" i="9" s="1"/>
  <c r="F127" i="10"/>
  <c r="Y129" i="9" s="1"/>
  <c r="F128" i="10"/>
  <c r="F129" i="10"/>
  <c r="Y131" i="9" s="1"/>
  <c r="F130" i="10"/>
  <c r="Y132" i="9" s="1"/>
  <c r="F131" i="10"/>
  <c r="Y133" i="9" s="1"/>
  <c r="F132" i="10"/>
  <c r="F133" i="10"/>
  <c r="G130" i="16" s="1"/>
  <c r="F134" i="10"/>
  <c r="G131" i="16" s="1"/>
  <c r="F135" i="10"/>
  <c r="Y137" i="9" s="1"/>
  <c r="F136" i="10"/>
  <c r="G133" i="16" s="1"/>
  <c r="F137" i="10"/>
  <c r="Y139" i="9" s="1"/>
  <c r="F138" i="10"/>
  <c r="Y140" i="9" s="1"/>
  <c r="F139" i="10"/>
  <c r="Y141" i="9" s="1"/>
  <c r="F140" i="10"/>
  <c r="G137" i="16" s="1"/>
  <c r="F141" i="10"/>
  <c r="G138" i="16" s="1"/>
  <c r="F142" i="10"/>
  <c r="Y144" i="9" s="1"/>
  <c r="F143" i="10"/>
  <c r="G140" i="16" s="1"/>
  <c r="F144" i="10"/>
  <c r="Y146" i="9" s="1"/>
  <c r="F145" i="10"/>
  <c r="Y147" i="9" s="1"/>
  <c r="F146" i="10"/>
  <c r="Y148" i="9" s="1"/>
  <c r="F147" i="10"/>
  <c r="Y149" i="9" s="1"/>
  <c r="F148" i="10"/>
  <c r="F149" i="10"/>
  <c r="Y151" i="9" s="1"/>
  <c r="F150" i="10"/>
  <c r="Y152" i="9" s="1"/>
  <c r="F151" i="10"/>
  <c r="Y153" i="9" s="1"/>
  <c r="F152" i="10"/>
  <c r="F153" i="10"/>
  <c r="Y155" i="9" s="1"/>
  <c r="F154" i="10"/>
  <c r="G151" i="16" s="1"/>
  <c r="F155" i="10"/>
  <c r="Y157" i="9" s="1"/>
  <c r="F156" i="10"/>
  <c r="F157" i="10"/>
  <c r="G154" i="16" s="1"/>
  <c r="F158" i="10"/>
  <c r="G155" i="16" s="1"/>
  <c r="F159" i="10"/>
  <c r="Y161" i="9" s="1"/>
  <c r="F160" i="10"/>
  <c r="F161" i="10"/>
  <c r="Y163" i="9" s="1"/>
  <c r="F162" i="10"/>
  <c r="Y164" i="9" s="1"/>
  <c r="F163" i="10"/>
  <c r="G160" i="16" s="1"/>
  <c r="F164" i="10"/>
  <c r="F165" i="10"/>
  <c r="G162" i="16" s="1"/>
  <c r="F166" i="10"/>
  <c r="G163" i="16" s="1"/>
  <c r="F167" i="10"/>
  <c r="Y169" i="9" s="1"/>
  <c r="F168" i="10"/>
  <c r="F169" i="10"/>
  <c r="Y171" i="9" s="1"/>
  <c r="F170" i="10"/>
  <c r="G167" i="16" s="1"/>
  <c r="F171" i="10"/>
  <c r="G168" i="16" s="1"/>
  <c r="F172" i="10"/>
  <c r="F173" i="10"/>
  <c r="Y175" i="9" s="1"/>
  <c r="F174" i="10"/>
  <c r="Y176" i="9" s="1"/>
  <c r="F175" i="10"/>
  <c r="G172" i="16" s="1"/>
  <c r="F176" i="10"/>
  <c r="F177" i="10"/>
  <c r="G174" i="16" s="1"/>
  <c r="F178" i="10"/>
  <c r="G175" i="16" s="1"/>
  <c r="F179" i="10"/>
  <c r="G176" i="16" s="1"/>
  <c r="F180" i="10"/>
  <c r="Y182" i="9" s="1"/>
  <c r="F12" i="10"/>
  <c r="G9" i="16" s="1"/>
  <c r="F11" i="10"/>
  <c r="Y13" i="9" s="1"/>
  <c r="D13" i="10"/>
  <c r="Q15" i="9" s="1"/>
  <c r="D14" i="10"/>
  <c r="D15" i="10"/>
  <c r="Q17" i="9" s="1"/>
  <c r="D16" i="10"/>
  <c r="E13" i="16" s="1"/>
  <c r="D17" i="10"/>
  <c r="Q19" i="9" s="1"/>
  <c r="D18" i="10"/>
  <c r="D19" i="10"/>
  <c r="E16" i="16" s="1"/>
  <c r="D20" i="10"/>
  <c r="Q22" i="9" s="1"/>
  <c r="D21" i="10"/>
  <c r="E18" i="16" s="1"/>
  <c r="D22" i="10"/>
  <c r="D23" i="10"/>
  <c r="E20" i="16" s="1"/>
  <c r="D24" i="10"/>
  <c r="Q26" i="9" s="1"/>
  <c r="D25" i="10"/>
  <c r="E22" i="16" s="1"/>
  <c r="D26" i="10"/>
  <c r="D27" i="10"/>
  <c r="Q29" i="9" s="1"/>
  <c r="D28" i="10"/>
  <c r="E25" i="16" s="1"/>
  <c r="D29" i="10"/>
  <c r="E26" i="16" s="1"/>
  <c r="D30" i="10"/>
  <c r="E27" i="16" s="1"/>
  <c r="D31" i="10"/>
  <c r="E28" i="16" s="1"/>
  <c r="D32" i="10"/>
  <c r="Q34" i="9" s="1"/>
  <c r="D33" i="10"/>
  <c r="E30" i="16" s="1"/>
  <c r="D34" i="10"/>
  <c r="D35" i="10"/>
  <c r="Q37" i="9" s="1"/>
  <c r="D36" i="10"/>
  <c r="Q38" i="9" s="1"/>
  <c r="D37" i="10"/>
  <c r="E34" i="16" s="1"/>
  <c r="D38" i="10"/>
  <c r="E35" i="16" s="1"/>
  <c r="D39" i="10"/>
  <c r="Q41" i="9" s="1"/>
  <c r="D40" i="10"/>
  <c r="Q42" i="9" s="1"/>
  <c r="D41" i="10"/>
  <c r="Q43" i="9" s="1"/>
  <c r="D42" i="10"/>
  <c r="Q44" i="9" s="1"/>
  <c r="D43" i="10"/>
  <c r="Q45" i="9" s="1"/>
  <c r="D44" i="10"/>
  <c r="Q46" i="9" s="1"/>
  <c r="D45" i="10"/>
  <c r="E42" i="16" s="1"/>
  <c r="D46" i="10"/>
  <c r="D47" i="10"/>
  <c r="Q49" i="9" s="1"/>
  <c r="D48" i="10"/>
  <c r="Q50" i="9" s="1"/>
  <c r="D49" i="10"/>
  <c r="Q51" i="9" s="1"/>
  <c r="D50" i="10"/>
  <c r="D51" i="10"/>
  <c r="E48" i="16" s="1"/>
  <c r="D52" i="10"/>
  <c r="Q54" i="9" s="1"/>
  <c r="D53" i="10"/>
  <c r="E50" i="16" s="1"/>
  <c r="D54" i="10"/>
  <c r="D55" i="10"/>
  <c r="E52" i="16" s="1"/>
  <c r="D56" i="10"/>
  <c r="Q58" i="9" s="1"/>
  <c r="D57" i="10"/>
  <c r="Q59" i="9" s="1"/>
  <c r="D58" i="10"/>
  <c r="D59" i="10"/>
  <c r="Q61" i="9" s="1"/>
  <c r="D60" i="10"/>
  <c r="Q62" i="9" s="1"/>
  <c r="D61" i="10"/>
  <c r="E58" i="16" s="1"/>
  <c r="D62" i="10"/>
  <c r="Q64" i="9" s="1"/>
  <c r="D63" i="10"/>
  <c r="E60" i="16" s="1"/>
  <c r="D64" i="10"/>
  <c r="E61" i="16" s="1"/>
  <c r="D65" i="10"/>
  <c r="Q67" i="9" s="1"/>
  <c r="D66" i="10"/>
  <c r="D67" i="10"/>
  <c r="Q69" i="9" s="1"/>
  <c r="D68" i="10"/>
  <c r="Q70" i="9" s="1"/>
  <c r="D69" i="10"/>
  <c r="Q71" i="9" s="1"/>
  <c r="D70" i="10"/>
  <c r="Q72" i="9" s="1"/>
  <c r="D71" i="10"/>
  <c r="E68" i="16" s="1"/>
  <c r="D72" i="10"/>
  <c r="Q74" i="9" s="1"/>
  <c r="D73" i="10"/>
  <c r="E70" i="16" s="1"/>
  <c r="D74" i="10"/>
  <c r="Q76" i="9" s="1"/>
  <c r="D75" i="10"/>
  <c r="E72" i="16" s="1"/>
  <c r="D76" i="10"/>
  <c r="Q78" i="9" s="1"/>
  <c r="D77" i="10"/>
  <c r="Q79" i="9" s="1"/>
  <c r="D78" i="10"/>
  <c r="D79" i="10"/>
  <c r="E76" i="16" s="1"/>
  <c r="D80" i="10"/>
  <c r="E77" i="16" s="1"/>
  <c r="D81" i="10"/>
  <c r="E78" i="16" s="1"/>
  <c r="D82" i="10"/>
  <c r="D83" i="10"/>
  <c r="E80" i="16" s="1"/>
  <c r="D84" i="10"/>
  <c r="E81" i="16" s="1"/>
  <c r="D85" i="10"/>
  <c r="E82" i="16" s="1"/>
  <c r="D86" i="10"/>
  <c r="E83" i="16" s="1"/>
  <c r="D87" i="10"/>
  <c r="E84" i="16" s="1"/>
  <c r="D88" i="10"/>
  <c r="Q90" i="9" s="1"/>
  <c r="D89" i="10"/>
  <c r="Q91" i="9" s="1"/>
  <c r="D90" i="10"/>
  <c r="E87" i="16" s="1"/>
  <c r="D91" i="10"/>
  <c r="Q93" i="9" s="1"/>
  <c r="D92" i="10"/>
  <c r="Q94" i="9" s="1"/>
  <c r="D93" i="10"/>
  <c r="E90" i="16" s="1"/>
  <c r="D94" i="10"/>
  <c r="D95" i="10"/>
  <c r="E92" i="16" s="1"/>
  <c r="D96" i="10"/>
  <c r="Q98" i="9" s="1"/>
  <c r="D97" i="10"/>
  <c r="E94" i="16" s="1"/>
  <c r="D98" i="10"/>
  <c r="D99" i="10"/>
  <c r="Q101" i="9" s="1"/>
  <c r="D100" i="10"/>
  <c r="Q102" i="9" s="1"/>
  <c r="D101" i="10"/>
  <c r="E98" i="16" s="1"/>
  <c r="D102" i="10"/>
  <c r="D103" i="10"/>
  <c r="E100" i="16" s="1"/>
  <c r="D104" i="10"/>
  <c r="E101" i="16" s="1"/>
  <c r="D105" i="10"/>
  <c r="Q107" i="9" s="1"/>
  <c r="D106" i="10"/>
  <c r="D107" i="10"/>
  <c r="E104" i="16" s="1"/>
  <c r="D108" i="10"/>
  <c r="E105" i="16" s="1"/>
  <c r="D109" i="10"/>
  <c r="E106" i="16" s="1"/>
  <c r="D110" i="10"/>
  <c r="D111" i="10"/>
  <c r="E108" i="16" s="1"/>
  <c r="D112" i="10"/>
  <c r="E109" i="16" s="1"/>
  <c r="D113" i="10"/>
  <c r="E110" i="16" s="1"/>
  <c r="D114" i="10"/>
  <c r="Q116" i="9" s="1"/>
  <c r="D115" i="10"/>
  <c r="E112" i="16" s="1"/>
  <c r="D116" i="10"/>
  <c r="Q118" i="9" s="1"/>
  <c r="D117" i="10"/>
  <c r="Q119" i="9" s="1"/>
  <c r="D118" i="10"/>
  <c r="E115" i="16" s="1"/>
  <c r="D119" i="10"/>
  <c r="Q121" i="9" s="1"/>
  <c r="D120" i="10"/>
  <c r="E117" i="16" s="1"/>
  <c r="D121" i="10"/>
  <c r="E118" i="16" s="1"/>
  <c r="D122" i="10"/>
  <c r="E119" i="16" s="1"/>
  <c r="D123" i="10"/>
  <c r="Q125" i="9" s="1"/>
  <c r="D124" i="10"/>
  <c r="E121" i="16" s="1"/>
  <c r="D125" i="10"/>
  <c r="Q127" i="9" s="1"/>
  <c r="D126" i="10"/>
  <c r="D127" i="10"/>
  <c r="E124" i="16" s="1"/>
  <c r="D128" i="10"/>
  <c r="E125" i="16" s="1"/>
  <c r="D129" i="10"/>
  <c r="Q131" i="9" s="1"/>
  <c r="D130" i="10"/>
  <c r="Q132" i="9" s="1"/>
  <c r="D131" i="10"/>
  <c r="E128" i="16" s="1"/>
  <c r="D132" i="10"/>
  <c r="E129" i="16" s="1"/>
  <c r="D133" i="10"/>
  <c r="Q135" i="9" s="1"/>
  <c r="D134" i="10"/>
  <c r="D135" i="10"/>
  <c r="E132" i="16" s="1"/>
  <c r="D136" i="10"/>
  <c r="E133" i="16" s="1"/>
  <c r="D137" i="10"/>
  <c r="E134" i="16" s="1"/>
  <c r="D138" i="10"/>
  <c r="D139" i="10"/>
  <c r="E136" i="16" s="1"/>
  <c r="D140" i="10"/>
  <c r="E137" i="16" s="1"/>
  <c r="D141" i="10"/>
  <c r="E138" i="16" s="1"/>
  <c r="D142" i="10"/>
  <c r="D143" i="10"/>
  <c r="E140" i="16" s="1"/>
  <c r="D144" i="10"/>
  <c r="E141" i="16" s="1"/>
  <c r="D145" i="10"/>
  <c r="Q147" i="9" s="1"/>
  <c r="D146" i="10"/>
  <c r="D147" i="10"/>
  <c r="Q149" i="9" s="1"/>
  <c r="D148" i="10"/>
  <c r="Q150" i="9" s="1"/>
  <c r="D149" i="10"/>
  <c r="Q151" i="9" s="1"/>
  <c r="D150" i="10"/>
  <c r="Q152" i="9" s="1"/>
  <c r="D151" i="10"/>
  <c r="Q153" i="9" s="1"/>
  <c r="D152" i="10"/>
  <c r="E149" i="16" s="1"/>
  <c r="D153" i="10"/>
  <c r="Q155" i="9" s="1"/>
  <c r="D154" i="10"/>
  <c r="D155" i="10"/>
  <c r="E152" i="16" s="1"/>
  <c r="D156" i="10"/>
  <c r="E153" i="16" s="1"/>
  <c r="D157" i="10"/>
  <c r="Q159" i="9" s="1"/>
  <c r="D158" i="10"/>
  <c r="E155" i="16" s="1"/>
  <c r="D159" i="10"/>
  <c r="E156" i="16" s="1"/>
  <c r="D160" i="10"/>
  <c r="Q162" i="9" s="1"/>
  <c r="D161" i="10"/>
  <c r="E158" i="16" s="1"/>
  <c r="D162" i="10"/>
  <c r="E159" i="16" s="1"/>
  <c r="D163" i="10"/>
  <c r="E160" i="16" s="1"/>
  <c r="D164" i="10"/>
  <c r="E161" i="16" s="1"/>
  <c r="D165" i="10"/>
  <c r="Q167" i="9" s="1"/>
  <c r="D166" i="10"/>
  <c r="Q168" i="9" s="1"/>
  <c r="D167" i="10"/>
  <c r="Q169" i="9" s="1"/>
  <c r="D168" i="10"/>
  <c r="Q170" i="9" s="1"/>
  <c r="D169" i="10"/>
  <c r="E166" i="16" s="1"/>
  <c r="D170" i="10"/>
  <c r="D171" i="10"/>
  <c r="Q173" i="9" s="1"/>
  <c r="D172" i="10"/>
  <c r="Q174" i="9" s="1"/>
  <c r="D173" i="10"/>
  <c r="Q175" i="9" s="1"/>
  <c r="D174" i="10"/>
  <c r="Q176" i="9" s="1"/>
  <c r="D175" i="10"/>
  <c r="E172" i="16" s="1"/>
  <c r="D176" i="10"/>
  <c r="E173" i="16" s="1"/>
  <c r="D177" i="10"/>
  <c r="E174" i="16" s="1"/>
  <c r="D178" i="10"/>
  <c r="D179" i="10"/>
  <c r="Q181" i="9" s="1"/>
  <c r="D180" i="10"/>
  <c r="Q182" i="9" s="1"/>
  <c r="D12" i="10"/>
  <c r="Q14" i="9" s="1"/>
  <c r="D11" i="10"/>
  <c r="E8" i="16" s="1"/>
  <c r="B16" i="10"/>
  <c r="D13" i="16" s="1"/>
  <c r="B28" i="10"/>
  <c r="I30" i="9" s="1"/>
  <c r="B32" i="10"/>
  <c r="D29" i="16" s="1"/>
  <c r="B34" i="10"/>
  <c r="D31" i="16" s="1"/>
  <c r="B38" i="10"/>
  <c r="D35" i="16" s="1"/>
  <c r="B39" i="10"/>
  <c r="I41" i="9" s="1"/>
  <c r="B40" i="10"/>
  <c r="D37" i="16" s="1"/>
  <c r="B49" i="10"/>
  <c r="D46" i="16" s="1"/>
  <c r="B53" i="10"/>
  <c r="D50" i="16" s="1"/>
  <c r="B57" i="10"/>
  <c r="I59" i="9" s="1"/>
  <c r="B59" i="10"/>
  <c r="D56" i="16" s="1"/>
  <c r="B81" i="10"/>
  <c r="D78" i="16" s="1"/>
  <c r="B82" i="10"/>
  <c r="I84" i="9" s="1"/>
  <c r="B84" i="10"/>
  <c r="D81" i="16" s="1"/>
  <c r="B86" i="10"/>
  <c r="D83" i="16" s="1"/>
  <c r="B89" i="10"/>
  <c r="I91" i="9" s="1"/>
  <c r="B91" i="10"/>
  <c r="D88" i="16" s="1"/>
  <c r="B92" i="10"/>
  <c r="D89" i="16" s="1"/>
  <c r="B94" i="10"/>
  <c r="D91" i="16" s="1"/>
  <c r="B96" i="10"/>
  <c r="B97" i="10"/>
  <c r="D94" i="16" s="1"/>
  <c r="B100" i="10"/>
  <c r="D97" i="16" s="1"/>
  <c r="B101" i="10"/>
  <c r="I103" i="9" s="1"/>
  <c r="B103" i="10"/>
  <c r="D100" i="16" s="1"/>
  <c r="B104" i="10"/>
  <c r="I106" i="9" s="1"/>
  <c r="B105" i="10"/>
  <c r="I107" i="9" s="1"/>
  <c r="B106" i="10"/>
  <c r="D103" i="16" s="1"/>
  <c r="B107" i="10"/>
  <c r="B109" i="10"/>
  <c r="I111" i="9" s="1"/>
  <c r="B110" i="10"/>
  <c r="D107" i="16" s="1"/>
  <c r="B111" i="10"/>
  <c r="D108" i="16" s="1"/>
  <c r="B113" i="10"/>
  <c r="I115" i="9" s="1"/>
  <c r="B114" i="10"/>
  <c r="D111" i="16" s="1"/>
  <c r="B119" i="10"/>
  <c r="I121" i="9" s="1"/>
  <c r="B120" i="10"/>
  <c r="I122" i="9" s="1"/>
  <c r="B122" i="10"/>
  <c r="I124" i="9" s="1"/>
  <c r="B124" i="10"/>
  <c r="D121" i="16" s="1"/>
  <c r="B125" i="10"/>
  <c r="D122" i="16" s="1"/>
  <c r="B128" i="10"/>
  <c r="I130" i="9" s="1"/>
  <c r="B129" i="10"/>
  <c r="I131" i="9" s="1"/>
  <c r="B131" i="10"/>
  <c r="I133" i="9" s="1"/>
  <c r="B132" i="10"/>
  <c r="I134" i="9" s="1"/>
  <c r="B133" i="10"/>
  <c r="I135" i="9" s="1"/>
  <c r="B134" i="10"/>
  <c r="D131" i="16" s="1"/>
  <c r="B135" i="10"/>
  <c r="I137" i="9" s="1"/>
  <c r="B139" i="10"/>
  <c r="D136" i="16" s="1"/>
  <c r="B140" i="10"/>
  <c r="D137" i="16" s="1"/>
  <c r="B142" i="10"/>
  <c r="D139" i="16" s="1"/>
  <c r="B143" i="10"/>
  <c r="I145" i="9" s="1"/>
  <c r="B145" i="10"/>
  <c r="D142" i="16" s="1"/>
  <c r="B146" i="10"/>
  <c r="I148" i="9" s="1"/>
  <c r="B148" i="10"/>
  <c r="I150" i="9" s="1"/>
  <c r="B149" i="10"/>
  <c r="D146" i="16" s="1"/>
  <c r="B151" i="10"/>
  <c r="D148" i="16" s="1"/>
  <c r="B152" i="10"/>
  <c r="I154" i="9" s="1"/>
  <c r="B153" i="10"/>
  <c r="D150" i="16" s="1"/>
  <c r="B154" i="10"/>
  <c r="B156" i="10"/>
  <c r="D153" i="16" s="1"/>
  <c r="B157" i="10"/>
  <c r="I159" i="9" s="1"/>
  <c r="B158" i="10"/>
  <c r="I160" i="9" s="1"/>
  <c r="B159" i="10"/>
  <c r="B161" i="10"/>
  <c r="I163" i="9" s="1"/>
  <c r="B163" i="10"/>
  <c r="D160" i="16" s="1"/>
  <c r="B164" i="10"/>
  <c r="I166" i="9" s="1"/>
  <c r="B165" i="10"/>
  <c r="D162" i="16" s="1"/>
  <c r="B168" i="10"/>
  <c r="D165" i="16" s="1"/>
  <c r="B170" i="10"/>
  <c r="D167" i="16" s="1"/>
  <c r="B173" i="10"/>
  <c r="D170" i="16" s="1"/>
  <c r="B174" i="10"/>
  <c r="D171" i="16" s="1"/>
  <c r="B175" i="10"/>
  <c r="D172" i="16" s="1"/>
  <c r="B177" i="10"/>
  <c r="I179" i="9" s="1"/>
  <c r="B180" i="10"/>
  <c r="I182" i="9" s="1"/>
  <c r="B21" i="10"/>
  <c r="D18" i="16" s="1"/>
  <c r="D152" i="12"/>
  <c r="B61" i="10" s="1"/>
  <c r="D58" i="16" s="1"/>
  <c r="B108" i="10"/>
  <c r="I110" i="9" s="1"/>
  <c r="D153" i="12"/>
  <c r="B62" i="10" s="1"/>
  <c r="I64" i="9" s="1"/>
  <c r="D154" i="12"/>
  <c r="B98" i="10"/>
  <c r="D95" i="16" s="1"/>
  <c r="D155" i="12"/>
  <c r="B64" i="10" s="1"/>
  <c r="I66" i="9" s="1"/>
  <c r="D156" i="12"/>
  <c r="B65" i="10" s="1"/>
  <c r="I67" i="9" s="1"/>
  <c r="B88" i="10"/>
  <c r="I90" i="9" s="1"/>
  <c r="D157" i="12"/>
  <c r="B66" i="10" s="1"/>
  <c r="D63" i="16" s="1"/>
  <c r="B83" i="10"/>
  <c r="I85" i="9" s="1"/>
  <c r="D158" i="12"/>
  <c r="B67" i="10" s="1"/>
  <c r="I69" i="9" s="1"/>
  <c r="D159" i="12"/>
  <c r="B68" i="10" s="1"/>
  <c r="D65" i="16" s="1"/>
  <c r="D160" i="12"/>
  <c r="B69" i="10" s="1"/>
  <c r="D66" i="16" s="1"/>
  <c r="D161" i="12"/>
  <c r="B70" i="10" s="1"/>
  <c r="I72" i="9" s="1"/>
  <c r="B63" i="10"/>
  <c r="D60" i="16" s="1"/>
  <c r="D162" i="12"/>
  <c r="B71" i="10" s="1"/>
  <c r="I73" i="9" s="1"/>
  <c r="D163" i="12"/>
  <c r="B72" i="10" s="1"/>
  <c r="I74" i="9" s="1"/>
  <c r="D164" i="12"/>
  <c r="B73" i="10" s="1"/>
  <c r="D70" i="16" s="1"/>
  <c r="D165" i="12"/>
  <c r="B74" i="10" s="1"/>
  <c r="I76" i="9" s="1"/>
  <c r="D166" i="12"/>
  <c r="B75" i="10" s="1"/>
  <c r="D72" i="16" s="1"/>
  <c r="D167" i="12"/>
  <c r="B76" i="10" s="1"/>
  <c r="I78" i="9" s="1"/>
  <c r="D168" i="12"/>
  <c r="B77" i="10" s="1"/>
  <c r="D74" i="16" s="1"/>
  <c r="D169" i="12"/>
  <c r="B78" i="10" s="1"/>
  <c r="D75" i="16" s="1"/>
  <c r="D170" i="12"/>
  <c r="B79" i="10" s="1"/>
  <c r="D76" i="16" s="1"/>
  <c r="D171" i="12"/>
  <c r="B80" i="10" s="1"/>
  <c r="I82" i="9" s="1"/>
  <c r="P171" i="12"/>
  <c r="L171" i="12"/>
  <c r="M171" i="12"/>
  <c r="N171" i="12"/>
  <c r="O171" i="12"/>
  <c r="J152" i="12"/>
  <c r="P152" i="12" s="1"/>
  <c r="L152" i="12"/>
  <c r="M152" i="12"/>
  <c r="N152" i="12"/>
  <c r="O152" i="12"/>
  <c r="J153" i="12"/>
  <c r="P153" i="12" s="1"/>
  <c r="L153" i="12"/>
  <c r="M153" i="12"/>
  <c r="N153" i="12"/>
  <c r="O153" i="12"/>
  <c r="J154" i="12"/>
  <c r="L154" i="12"/>
  <c r="M154" i="12"/>
  <c r="N154" i="12"/>
  <c r="O154" i="12"/>
  <c r="J155" i="12"/>
  <c r="P155" i="12" s="1"/>
  <c r="L155" i="12"/>
  <c r="M155" i="12"/>
  <c r="N155" i="12"/>
  <c r="O155" i="12"/>
  <c r="J156" i="12"/>
  <c r="P156" i="12" s="1"/>
  <c r="L156" i="12"/>
  <c r="M156" i="12"/>
  <c r="N156" i="12"/>
  <c r="O156" i="12"/>
  <c r="J157" i="12"/>
  <c r="P157" i="12" s="1"/>
  <c r="L157" i="12"/>
  <c r="M157" i="12"/>
  <c r="N157" i="12"/>
  <c r="O157" i="12"/>
  <c r="J158" i="12"/>
  <c r="L158" i="12"/>
  <c r="M158" i="12"/>
  <c r="N158" i="12"/>
  <c r="O158" i="12"/>
  <c r="J159" i="12"/>
  <c r="P159" i="12" s="1"/>
  <c r="L159" i="12"/>
  <c r="M159" i="12"/>
  <c r="N159" i="12"/>
  <c r="O159" i="12"/>
  <c r="J160" i="12"/>
  <c r="P160" i="12" s="1"/>
  <c r="L160" i="12"/>
  <c r="M160" i="12"/>
  <c r="N160" i="12"/>
  <c r="O160" i="12"/>
  <c r="J161" i="12"/>
  <c r="P161" i="12" s="1"/>
  <c r="L161" i="12"/>
  <c r="M161" i="12"/>
  <c r="N161" i="12"/>
  <c r="O161" i="12"/>
  <c r="J162" i="12"/>
  <c r="L162" i="12"/>
  <c r="M162" i="12"/>
  <c r="N162" i="12"/>
  <c r="O162" i="12"/>
  <c r="J163" i="12"/>
  <c r="P163" i="12" s="1"/>
  <c r="L163" i="12"/>
  <c r="M163" i="12"/>
  <c r="N163" i="12"/>
  <c r="O163" i="12"/>
  <c r="J164" i="12"/>
  <c r="P164" i="12" s="1"/>
  <c r="L164" i="12"/>
  <c r="M164" i="12"/>
  <c r="N164" i="12"/>
  <c r="O164" i="12"/>
  <c r="J165" i="12"/>
  <c r="P165" i="12" s="1"/>
  <c r="L165" i="12"/>
  <c r="M165" i="12"/>
  <c r="N165" i="12"/>
  <c r="O165" i="12"/>
  <c r="J166" i="12"/>
  <c r="L166" i="12"/>
  <c r="M166" i="12"/>
  <c r="N166" i="12"/>
  <c r="O166" i="12"/>
  <c r="J167" i="12"/>
  <c r="P167" i="12" s="1"/>
  <c r="L167" i="12"/>
  <c r="M167" i="12"/>
  <c r="N167" i="12"/>
  <c r="O167" i="12"/>
  <c r="J168" i="12"/>
  <c r="P168" i="12" s="1"/>
  <c r="L168" i="12"/>
  <c r="M168" i="12"/>
  <c r="N168" i="12"/>
  <c r="O168" i="12"/>
  <c r="J169" i="12"/>
  <c r="P169" i="12" s="1"/>
  <c r="L169" i="12"/>
  <c r="M169" i="12"/>
  <c r="N169" i="12"/>
  <c r="O169" i="12"/>
  <c r="J170" i="12"/>
  <c r="L170" i="12"/>
  <c r="M170" i="12"/>
  <c r="N170" i="12"/>
  <c r="O170" i="12"/>
  <c r="B5" i="21"/>
  <c r="B6" i="21"/>
  <c r="B7" i="21"/>
  <c r="B8" i="21"/>
  <c r="B9" i="21"/>
  <c r="B10" i="21"/>
  <c r="B11"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58" i="21"/>
  <c r="B59" i="21"/>
  <c r="B60" i="21"/>
  <c r="B61" i="21"/>
  <c r="B62" i="21"/>
  <c r="B63" i="21"/>
  <c r="B64" i="21"/>
  <c r="B65" i="21"/>
  <c r="B66" i="21"/>
  <c r="B67" i="21"/>
  <c r="B68" i="21"/>
  <c r="B69" i="21"/>
  <c r="B70" i="21"/>
  <c r="B71" i="21"/>
  <c r="B72" i="21"/>
  <c r="B73" i="21"/>
  <c r="B74" i="21"/>
  <c r="B75" i="21"/>
  <c r="B76" i="21"/>
  <c r="B77" i="21"/>
  <c r="B78" i="21"/>
  <c r="B79" i="21"/>
  <c r="B80" i="21"/>
  <c r="B81" i="21"/>
  <c r="B82" i="21"/>
  <c r="B83" i="21"/>
  <c r="B84" i="21"/>
  <c r="B85" i="21"/>
  <c r="B86" i="21"/>
  <c r="B87" i="21"/>
  <c r="B88" i="21"/>
  <c r="B89" i="21"/>
  <c r="B90" i="21"/>
  <c r="B91" i="21"/>
  <c r="B92" i="21"/>
  <c r="B93" i="21"/>
  <c r="B94" i="21"/>
  <c r="B95" i="21"/>
  <c r="B96" i="21"/>
  <c r="B97" i="21"/>
  <c r="B98" i="21"/>
  <c r="B99" i="21"/>
  <c r="B100" i="21"/>
  <c r="B101" i="21"/>
  <c r="B102" i="21"/>
  <c r="B103" i="21"/>
  <c r="B104" i="21"/>
  <c r="B105" i="21"/>
  <c r="B106" i="21"/>
  <c r="B107" i="21"/>
  <c r="B108" i="21"/>
  <c r="B109" i="21"/>
  <c r="B110" i="21"/>
  <c r="B111" i="21"/>
  <c r="B112" i="21"/>
  <c r="B113" i="21"/>
  <c r="B114" i="21"/>
  <c r="B115" i="21"/>
  <c r="B116" i="21"/>
  <c r="B117" i="21"/>
  <c r="B118" i="21"/>
  <c r="B119" i="21"/>
  <c r="B120" i="21"/>
  <c r="B121" i="21"/>
  <c r="B122" i="21"/>
  <c r="B123" i="21"/>
  <c r="B124" i="21"/>
  <c r="B125" i="21"/>
  <c r="B126" i="21"/>
  <c r="B127" i="21"/>
  <c r="B128" i="21"/>
  <c r="B129" i="21"/>
  <c r="B130" i="21"/>
  <c r="B131" i="21"/>
  <c r="B132" i="21"/>
  <c r="B133" i="21"/>
  <c r="B134" i="21"/>
  <c r="B135" i="21"/>
  <c r="B136" i="21"/>
  <c r="B137" i="21"/>
  <c r="B138" i="21"/>
  <c r="B139" i="21"/>
  <c r="B140" i="21"/>
  <c r="B141" i="21"/>
  <c r="B142" i="21"/>
  <c r="B143" i="21"/>
  <c r="B144" i="21"/>
  <c r="B145" i="21"/>
  <c r="B146" i="21"/>
  <c r="B147" i="21"/>
  <c r="B148" i="21"/>
  <c r="B149" i="21"/>
  <c r="B150" i="21"/>
  <c r="B151" i="21"/>
  <c r="B152" i="21"/>
  <c r="B153" i="21"/>
  <c r="B154" i="21"/>
  <c r="AD14" i="9"/>
  <c r="AD15" i="9"/>
  <c r="B15" i="9" s="1"/>
  <c r="AD16" i="9"/>
  <c r="B16" i="9" s="1"/>
  <c r="AD17" i="9"/>
  <c r="AD18" i="9"/>
  <c r="C10" i="21" s="1"/>
  <c r="D10" i="21" s="1"/>
  <c r="AD19" i="9"/>
  <c r="AD20" i="9"/>
  <c r="AD21" i="9"/>
  <c r="B21" i="9" s="1"/>
  <c r="AD22" i="9"/>
  <c r="C14" i="21" s="1"/>
  <c r="D14" i="21" s="1"/>
  <c r="AD23" i="9"/>
  <c r="AD24" i="9"/>
  <c r="C16" i="21" s="1"/>
  <c r="D16" i="21" s="1"/>
  <c r="AD25" i="9"/>
  <c r="C17" i="21" s="1"/>
  <c r="D17" i="21" s="1"/>
  <c r="AD26" i="9"/>
  <c r="B26" i="9" s="1"/>
  <c r="AD27" i="9"/>
  <c r="AD28" i="9"/>
  <c r="AD29" i="9"/>
  <c r="C21" i="21" s="1"/>
  <c r="D21" i="21" s="1"/>
  <c r="AD30" i="9"/>
  <c r="C22" i="21" s="1"/>
  <c r="D22" i="21" s="1"/>
  <c r="AD31" i="9"/>
  <c r="AD32" i="9"/>
  <c r="AD33" i="9"/>
  <c r="B33" i="9" s="1"/>
  <c r="A2" i="20"/>
  <c r="AD163" i="9"/>
  <c r="AD164" i="9"/>
  <c r="C156" i="21" s="1"/>
  <c r="D156" i="21" s="1"/>
  <c r="AD165" i="9"/>
  <c r="AD166" i="9"/>
  <c r="C158" i="21" s="1"/>
  <c r="D158" i="21" s="1"/>
  <c r="AD167" i="9"/>
  <c r="AD168" i="9"/>
  <c r="C160" i="21" s="1"/>
  <c r="D160" i="21" s="1"/>
  <c r="AD169" i="9"/>
  <c r="AD170" i="9"/>
  <c r="AD171" i="9"/>
  <c r="AD172" i="9"/>
  <c r="C164" i="21" s="1"/>
  <c r="D164" i="21" s="1"/>
  <c r="AD173" i="9"/>
  <c r="C165" i="21" s="1"/>
  <c r="D165" i="21" s="1"/>
  <c r="AD174" i="9"/>
  <c r="C166" i="21" s="1"/>
  <c r="D166" i="21" s="1"/>
  <c r="AD175" i="9"/>
  <c r="C167" i="21" s="1"/>
  <c r="D167" i="21" s="1"/>
  <c r="AD176" i="9"/>
  <c r="C168" i="21" s="1"/>
  <c r="D168" i="21" s="1"/>
  <c r="AD177" i="9"/>
  <c r="C169" i="21" s="1"/>
  <c r="D169" i="21" s="1"/>
  <c r="AD178" i="9"/>
  <c r="C170" i="21" s="1"/>
  <c r="D170" i="21" s="1"/>
  <c r="AD179" i="9"/>
  <c r="AD180" i="9"/>
  <c r="C172" i="21" s="1"/>
  <c r="D172" i="21" s="1"/>
  <c r="AD181" i="9"/>
  <c r="C173" i="21" s="1"/>
  <c r="D173" i="21" s="1"/>
  <c r="AD182" i="9"/>
  <c r="C174" i="21" s="1"/>
  <c r="D174" i="21" s="1"/>
  <c r="C158" i="16"/>
  <c r="L158" i="16" s="1"/>
  <c r="C159" i="16"/>
  <c r="C160" i="16"/>
  <c r="C161" i="16"/>
  <c r="C162" i="16"/>
  <c r="L162" i="16" s="1"/>
  <c r="C163" i="16"/>
  <c r="C164" i="16"/>
  <c r="C165" i="16"/>
  <c r="L165" i="16" s="1"/>
  <c r="C166" i="16"/>
  <c r="C167" i="16"/>
  <c r="L167" i="16" s="1"/>
  <c r="C168" i="16"/>
  <c r="C169" i="16"/>
  <c r="L169" i="16" s="1"/>
  <c r="C170" i="16"/>
  <c r="L170" i="16" s="1"/>
  <c r="C171" i="16"/>
  <c r="C172" i="16"/>
  <c r="C173" i="16"/>
  <c r="C174" i="16"/>
  <c r="C175" i="16"/>
  <c r="C176" i="16"/>
  <c r="C177" i="16"/>
  <c r="AD34" i="9"/>
  <c r="AD35" i="9"/>
  <c r="B35" i="9" s="1"/>
  <c r="AD36" i="9"/>
  <c r="B36" i="9" s="1"/>
  <c r="AD37" i="9"/>
  <c r="C29" i="21" s="1"/>
  <c r="D29" i="21" s="1"/>
  <c r="AD38" i="9"/>
  <c r="B38" i="9" s="1"/>
  <c r="AD39" i="9"/>
  <c r="B39" i="9" s="1"/>
  <c r="AD40" i="9"/>
  <c r="AD41" i="9"/>
  <c r="B41" i="9" s="1"/>
  <c r="AD42" i="9"/>
  <c r="C34" i="21" s="1"/>
  <c r="D34" i="21" s="1"/>
  <c r="AD43" i="9"/>
  <c r="AD44" i="9"/>
  <c r="B44" i="9" s="1"/>
  <c r="AD45" i="9"/>
  <c r="C37" i="21" s="1"/>
  <c r="D37" i="21" s="1"/>
  <c r="AD46" i="9"/>
  <c r="C38" i="21" s="1"/>
  <c r="D38" i="21" s="1"/>
  <c r="AD47" i="9"/>
  <c r="AD48" i="9"/>
  <c r="C40" i="21" s="1"/>
  <c r="D40" i="21" s="1"/>
  <c r="AD49" i="9"/>
  <c r="B49" i="9" s="1"/>
  <c r="AD50" i="9"/>
  <c r="AD51" i="9"/>
  <c r="AD52" i="9"/>
  <c r="B52" i="9" s="1"/>
  <c r="AD53" i="9"/>
  <c r="C45" i="21" s="1"/>
  <c r="D45" i="21" s="1"/>
  <c r="AD54" i="9"/>
  <c r="C46" i="21" s="1"/>
  <c r="D46" i="21" s="1"/>
  <c r="AD55" i="9"/>
  <c r="B55" i="9" s="1"/>
  <c r="AD56" i="9"/>
  <c r="B56" i="9" s="1"/>
  <c r="AD57" i="9"/>
  <c r="C49" i="21" s="1"/>
  <c r="D49" i="21" s="1"/>
  <c r="AD58" i="9"/>
  <c r="AD59" i="9"/>
  <c r="B59" i="9" s="1"/>
  <c r="AD60" i="9"/>
  <c r="B60" i="9" s="1"/>
  <c r="AD61" i="9"/>
  <c r="C53" i="21" s="1"/>
  <c r="D53" i="21" s="1"/>
  <c r="AD62" i="9"/>
  <c r="B62" i="9" s="1"/>
  <c r="AD63" i="9"/>
  <c r="C55" i="21" s="1"/>
  <c r="D55" i="21" s="1"/>
  <c r="AD64" i="9"/>
  <c r="C56" i="21" s="1"/>
  <c r="D56" i="21" s="1"/>
  <c r="AD65" i="9"/>
  <c r="C57" i="21" s="1"/>
  <c r="D57" i="21" s="1"/>
  <c r="AD66" i="9"/>
  <c r="B66" i="9" s="1"/>
  <c r="AD67" i="9"/>
  <c r="C59" i="21" s="1"/>
  <c r="D59" i="21" s="1"/>
  <c r="AD68" i="9"/>
  <c r="AD69" i="9"/>
  <c r="C61" i="21" s="1"/>
  <c r="D61" i="21" s="1"/>
  <c r="AD70" i="9"/>
  <c r="C62" i="21" s="1"/>
  <c r="D62" i="21" s="1"/>
  <c r="AD71" i="9"/>
  <c r="C63" i="21" s="1"/>
  <c r="D63" i="21" s="1"/>
  <c r="AD72" i="9"/>
  <c r="AD73" i="9"/>
  <c r="B73" i="9" s="1"/>
  <c r="AD74" i="9"/>
  <c r="C66" i="21" s="1"/>
  <c r="D66" i="21" s="1"/>
  <c r="AD75" i="9"/>
  <c r="B75" i="9" s="1"/>
  <c r="AD76" i="9"/>
  <c r="B76" i="9" s="1"/>
  <c r="AD77" i="9"/>
  <c r="C69" i="21" s="1"/>
  <c r="D69" i="21" s="1"/>
  <c r="AD78" i="9"/>
  <c r="C70" i="21" s="1"/>
  <c r="D70" i="21" s="1"/>
  <c r="AD79" i="9"/>
  <c r="B79" i="9" s="1"/>
  <c r="AD80" i="9"/>
  <c r="B80" i="9" s="1"/>
  <c r="AD81" i="9"/>
  <c r="B81" i="9" s="1"/>
  <c r="AD82" i="9"/>
  <c r="C74" i="21" s="1"/>
  <c r="D74" i="21" s="1"/>
  <c r="AD83" i="9"/>
  <c r="B83" i="9" s="1"/>
  <c r="AD84" i="9"/>
  <c r="C76" i="21" s="1"/>
  <c r="D76" i="21" s="1"/>
  <c r="AD85" i="9"/>
  <c r="C77" i="21" s="1"/>
  <c r="D77" i="21" s="1"/>
  <c r="AD86" i="9"/>
  <c r="AD87" i="9"/>
  <c r="C79" i="21" s="1"/>
  <c r="D79" i="21" s="1"/>
  <c r="AD88" i="9"/>
  <c r="B88" i="9" s="1"/>
  <c r="AD89" i="9"/>
  <c r="C81" i="21" s="1"/>
  <c r="D81" i="21" s="1"/>
  <c r="AD90" i="9"/>
  <c r="B90" i="9" s="1"/>
  <c r="AD91" i="9"/>
  <c r="C83" i="21" s="1"/>
  <c r="D83" i="21" s="1"/>
  <c r="AD92" i="9"/>
  <c r="AD93" i="9"/>
  <c r="C85" i="21" s="1"/>
  <c r="D85" i="21" s="1"/>
  <c r="AD94" i="9"/>
  <c r="C86" i="21" s="1"/>
  <c r="D86" i="21" s="1"/>
  <c r="AD95" i="9"/>
  <c r="C87" i="21" s="1"/>
  <c r="D87" i="21" s="1"/>
  <c r="AD96" i="9"/>
  <c r="AD97" i="9"/>
  <c r="AD98" i="9"/>
  <c r="C90" i="21" s="1"/>
  <c r="D90" i="21" s="1"/>
  <c r="AD99" i="9"/>
  <c r="C91" i="21" s="1"/>
  <c r="D91" i="21" s="1"/>
  <c r="AD100" i="9"/>
  <c r="B100" i="9" s="1"/>
  <c r="AD101" i="9"/>
  <c r="C93" i="21" s="1"/>
  <c r="D93" i="21" s="1"/>
  <c r="AD102" i="9"/>
  <c r="C94" i="21" s="1"/>
  <c r="D94" i="21" s="1"/>
  <c r="AD103" i="9"/>
  <c r="B103" i="9" s="1"/>
  <c r="AD104" i="9"/>
  <c r="AD105" i="9"/>
  <c r="B105" i="9" s="1"/>
  <c r="AD106" i="9"/>
  <c r="B106" i="9" s="1"/>
  <c r="AD107" i="9"/>
  <c r="B107" i="9" s="1"/>
  <c r="AD108" i="9"/>
  <c r="AD109" i="9"/>
  <c r="B109" i="9" s="1"/>
  <c r="AD110" i="9"/>
  <c r="C102" i="21" s="1"/>
  <c r="D102" i="21" s="1"/>
  <c r="AD111" i="9"/>
  <c r="C103" i="21" s="1"/>
  <c r="D103" i="21" s="1"/>
  <c r="AD112" i="9"/>
  <c r="AD113" i="9"/>
  <c r="C105" i="21" s="1"/>
  <c r="D105" i="21" s="1"/>
  <c r="AD114" i="9"/>
  <c r="C106" i="21" s="1"/>
  <c r="D106" i="21" s="1"/>
  <c r="AD115" i="9"/>
  <c r="C107" i="21" s="1"/>
  <c r="D107" i="21" s="1"/>
  <c r="AD116" i="9"/>
  <c r="C108" i="21" s="1"/>
  <c r="D108" i="21" s="1"/>
  <c r="AD117" i="9"/>
  <c r="C109" i="21" s="1"/>
  <c r="D109" i="21" s="1"/>
  <c r="AD118" i="9"/>
  <c r="B118" i="9" s="1"/>
  <c r="AD119" i="9"/>
  <c r="C111" i="21" s="1"/>
  <c r="D111" i="21" s="1"/>
  <c r="AD120" i="9"/>
  <c r="C112" i="21" s="1"/>
  <c r="D112" i="21" s="1"/>
  <c r="AD121" i="9"/>
  <c r="B121" i="9" s="1"/>
  <c r="AD122" i="9"/>
  <c r="AD123" i="9"/>
  <c r="C115" i="21" s="1"/>
  <c r="D115" i="21" s="1"/>
  <c r="AD124" i="9"/>
  <c r="C116" i="21" s="1"/>
  <c r="D116" i="21" s="1"/>
  <c r="AD125" i="9"/>
  <c r="AD126" i="9"/>
  <c r="AD127" i="9"/>
  <c r="C119" i="21" s="1"/>
  <c r="D119" i="21" s="1"/>
  <c r="AD128" i="9"/>
  <c r="C120" i="21" s="1"/>
  <c r="D120" i="21" s="1"/>
  <c r="AD129" i="9"/>
  <c r="C121" i="21" s="1"/>
  <c r="D121" i="21" s="1"/>
  <c r="AD130" i="9"/>
  <c r="B130" i="9" s="1"/>
  <c r="AD131" i="9"/>
  <c r="C123" i="21" s="1"/>
  <c r="D123" i="21" s="1"/>
  <c r="AD132" i="9"/>
  <c r="AD133" i="9"/>
  <c r="C125" i="21" s="1"/>
  <c r="D125" i="21" s="1"/>
  <c r="AD134" i="9"/>
  <c r="C126" i="21" s="1"/>
  <c r="D126" i="21" s="1"/>
  <c r="AD135" i="9"/>
  <c r="B135" i="9" s="1"/>
  <c r="AD136" i="9"/>
  <c r="AD137" i="9"/>
  <c r="B137" i="9" s="1"/>
  <c r="AD138" i="9"/>
  <c r="B138" i="9" s="1"/>
  <c r="AD139" i="9"/>
  <c r="C131" i="21" s="1"/>
  <c r="D131" i="21" s="1"/>
  <c r="AD140" i="9"/>
  <c r="C132" i="21" s="1"/>
  <c r="D132" i="21" s="1"/>
  <c r="AD141" i="9"/>
  <c r="B141" i="9" s="1"/>
  <c r="AD142" i="9"/>
  <c r="B142" i="9" s="1"/>
  <c r="AD143" i="9"/>
  <c r="B143" i="9" s="1"/>
  <c r="AD144" i="9"/>
  <c r="B144" i="9" s="1"/>
  <c r="AD145" i="9"/>
  <c r="C137" i="21" s="1"/>
  <c r="D137" i="21" s="1"/>
  <c r="AD146" i="9"/>
  <c r="AD147" i="9"/>
  <c r="B147" i="9" s="1"/>
  <c r="AD148" i="9"/>
  <c r="B148" i="9" s="1"/>
  <c r="AD149" i="9"/>
  <c r="C141" i="21" s="1"/>
  <c r="D141" i="21" s="1"/>
  <c r="AD150" i="9"/>
  <c r="C142" i="21" s="1"/>
  <c r="D142" i="21" s="1"/>
  <c r="AD151" i="9"/>
  <c r="B151" i="9" s="1"/>
  <c r="AD152" i="9"/>
  <c r="B152" i="9" s="1"/>
  <c r="AD153" i="9"/>
  <c r="B153" i="9" s="1"/>
  <c r="AD154" i="9"/>
  <c r="AD155" i="9"/>
  <c r="AD156" i="9"/>
  <c r="C148" i="21" s="1"/>
  <c r="D148" i="21" s="1"/>
  <c r="AD157" i="9"/>
  <c r="C149" i="21" s="1"/>
  <c r="D149" i="21" s="1"/>
  <c r="AD158" i="9"/>
  <c r="AD159" i="9"/>
  <c r="B159" i="9" s="1"/>
  <c r="AD160" i="9"/>
  <c r="B160" i="9" s="1"/>
  <c r="AD161" i="9"/>
  <c r="C153" i="21" s="1"/>
  <c r="D153" i="21" s="1"/>
  <c r="AD162" i="9"/>
  <c r="Y3" i="18"/>
  <c r="Y4" i="18"/>
  <c r="Y5" i="18"/>
  <c r="Y6" i="18"/>
  <c r="K6" i="18"/>
  <c r="K5" i="18"/>
  <c r="K3" i="18"/>
  <c r="H3" i="14"/>
  <c r="X3" i="14"/>
  <c r="S9" i="13"/>
  <c r="Q7" i="12" s="1"/>
  <c r="R7" i="12" s="1"/>
  <c r="X4" i="14"/>
  <c r="H5" i="14"/>
  <c r="X5" i="14"/>
  <c r="H6" i="14"/>
  <c r="X6" i="14"/>
  <c r="S10" i="13"/>
  <c r="C8" i="16"/>
  <c r="C9" i="16"/>
  <c r="C10" i="16"/>
  <c r="C11" i="16"/>
  <c r="L11" i="16" s="1"/>
  <c r="C12" i="16"/>
  <c r="C13" i="16"/>
  <c r="C14" i="16"/>
  <c r="C15" i="16"/>
  <c r="C16" i="16"/>
  <c r="C17" i="16"/>
  <c r="C18" i="16"/>
  <c r="C19" i="16"/>
  <c r="C20" i="16"/>
  <c r="C21" i="16"/>
  <c r="C22" i="16"/>
  <c r="C23" i="16"/>
  <c r="L23" i="16" s="1"/>
  <c r="C24" i="16"/>
  <c r="C25" i="16"/>
  <c r="C26" i="16"/>
  <c r="C27" i="16"/>
  <c r="C28" i="16"/>
  <c r="C29" i="16"/>
  <c r="C30" i="16"/>
  <c r="C32" i="16"/>
  <c r="C33" i="16"/>
  <c r="C34" i="16"/>
  <c r="L34" i="16" s="1"/>
  <c r="C36" i="16"/>
  <c r="C37" i="16"/>
  <c r="C38" i="16"/>
  <c r="C39" i="16"/>
  <c r="C40" i="16"/>
  <c r="C41" i="16"/>
  <c r="C42" i="16"/>
  <c r="C43" i="16"/>
  <c r="C44" i="16"/>
  <c r="C45" i="16"/>
  <c r="L45" i="16" s="1"/>
  <c r="C46" i="16"/>
  <c r="C47" i="16"/>
  <c r="L47" i="16" s="1"/>
  <c r="C48" i="16"/>
  <c r="C49" i="16"/>
  <c r="C50" i="16"/>
  <c r="L50" i="16" s="1"/>
  <c r="C51" i="16"/>
  <c r="C52" i="16"/>
  <c r="C53" i="16"/>
  <c r="C54" i="16"/>
  <c r="C56" i="16"/>
  <c r="C57" i="16"/>
  <c r="C58" i="16"/>
  <c r="C59" i="16"/>
  <c r="C60" i="16"/>
  <c r="C61" i="16"/>
  <c r="C62" i="16"/>
  <c r="C63" i="16"/>
  <c r="C64" i="16"/>
  <c r="C65" i="16"/>
  <c r="C66" i="16"/>
  <c r="C67" i="16"/>
  <c r="C68" i="16"/>
  <c r="C69" i="16"/>
  <c r="C70" i="16"/>
  <c r="C71" i="16"/>
  <c r="C72" i="16"/>
  <c r="C73" i="16"/>
  <c r="C74" i="16"/>
  <c r="C75" i="16"/>
  <c r="C76" i="16"/>
  <c r="C77" i="16"/>
  <c r="C78" i="16"/>
  <c r="L78" i="16" s="1"/>
  <c r="C79" i="16"/>
  <c r="C80" i="16"/>
  <c r="C81" i="16"/>
  <c r="C82" i="16"/>
  <c r="L82" i="16" s="1"/>
  <c r="C83" i="16"/>
  <c r="C84" i="16"/>
  <c r="L84" i="16" s="1"/>
  <c r="C85" i="16"/>
  <c r="L85" i="16" s="1"/>
  <c r="C86" i="16"/>
  <c r="C87" i="16"/>
  <c r="C88" i="16"/>
  <c r="C89" i="16"/>
  <c r="L89" i="16" s="1"/>
  <c r="C90" i="16"/>
  <c r="C91" i="16"/>
  <c r="L91" i="16" s="1"/>
  <c r="C92" i="16"/>
  <c r="L92" i="16" s="1"/>
  <c r="C93" i="16"/>
  <c r="C94" i="16"/>
  <c r="C95" i="16"/>
  <c r="C96" i="16"/>
  <c r="L96" i="16" s="1"/>
  <c r="C97" i="16"/>
  <c r="C98" i="16"/>
  <c r="L98" i="16" s="1"/>
  <c r="C100" i="16"/>
  <c r="C101" i="16"/>
  <c r="L101" i="16" s="1"/>
  <c r="C102" i="16"/>
  <c r="C103" i="16"/>
  <c r="L103" i="16" s="1"/>
  <c r="C104" i="16"/>
  <c r="C105" i="16"/>
  <c r="L105" i="16" s="1"/>
  <c r="C106" i="16"/>
  <c r="C107" i="16"/>
  <c r="K3" i="9"/>
  <c r="AA3" i="9"/>
  <c r="AA4" i="9"/>
  <c r="K5" i="9"/>
  <c r="AA5" i="9"/>
  <c r="K6" i="9"/>
  <c r="AA6" i="9"/>
  <c r="K7" i="9"/>
  <c r="AA7" i="9"/>
  <c r="K8" i="9"/>
  <c r="AA8" i="9"/>
  <c r="K9" i="9"/>
  <c r="AA9" i="9"/>
  <c r="AD13" i="9"/>
  <c r="B13" i="9" s="1"/>
  <c r="C2" i="16"/>
  <c r="C4" i="16"/>
  <c r="C31" i="16"/>
  <c r="C35" i="16"/>
  <c r="C55" i="16"/>
  <c r="C99" i="16"/>
  <c r="C108" i="16"/>
  <c r="L108" i="16" s="1"/>
  <c r="C109" i="16"/>
  <c r="C110" i="16"/>
  <c r="L110" i="16" s="1"/>
  <c r="C111" i="16"/>
  <c r="C112" i="16"/>
  <c r="L112" i="16" s="1"/>
  <c r="C113" i="16"/>
  <c r="C114" i="16"/>
  <c r="L114" i="16" s="1"/>
  <c r="C115" i="16"/>
  <c r="C116" i="16"/>
  <c r="L116" i="16" s="1"/>
  <c r="C117" i="16"/>
  <c r="C118" i="16"/>
  <c r="C119" i="16"/>
  <c r="C120" i="16"/>
  <c r="L120" i="16" s="1"/>
  <c r="C121" i="16"/>
  <c r="L121" i="16" s="1"/>
  <c r="C122" i="16"/>
  <c r="L122" i="16" s="1"/>
  <c r="C123" i="16"/>
  <c r="C124" i="16"/>
  <c r="L124" i="16" s="1"/>
  <c r="C125" i="16"/>
  <c r="C126" i="16"/>
  <c r="C127" i="16"/>
  <c r="C128" i="16"/>
  <c r="L128" i="16" s="1"/>
  <c r="C129" i="16"/>
  <c r="C130" i="16"/>
  <c r="C131" i="16"/>
  <c r="C132" i="16"/>
  <c r="C133" i="16"/>
  <c r="C134" i="16"/>
  <c r="C135" i="16"/>
  <c r="L135" i="16" s="1"/>
  <c r="C136" i="16"/>
  <c r="C137" i="16"/>
  <c r="C138" i="16"/>
  <c r="C139" i="16"/>
  <c r="C140" i="16"/>
  <c r="C141" i="16"/>
  <c r="C142" i="16"/>
  <c r="L142" i="16" s="1"/>
  <c r="C143" i="16"/>
  <c r="C144" i="16"/>
  <c r="C145" i="16"/>
  <c r="C146" i="16"/>
  <c r="C147" i="16"/>
  <c r="C148" i="16"/>
  <c r="C149" i="16"/>
  <c r="L149" i="16" s="1"/>
  <c r="C150" i="16"/>
  <c r="C151" i="16"/>
  <c r="C152" i="16"/>
  <c r="C153" i="16"/>
  <c r="L153" i="16" s="1"/>
  <c r="C154" i="16"/>
  <c r="C155" i="16"/>
  <c r="L155" i="16" s="1"/>
  <c r="C156" i="16"/>
  <c r="C157" i="16"/>
  <c r="F2" i="10"/>
  <c r="C130" i="21"/>
  <c r="D130" i="21" s="1"/>
  <c r="C98" i="21"/>
  <c r="D98" i="21" s="1"/>
  <c r="B129" i="9"/>
  <c r="B113" i="9"/>
  <c r="C101" i="21"/>
  <c r="D101" i="21" s="1"/>
  <c r="C97" i="21"/>
  <c r="D97" i="21" s="1"/>
  <c r="B156" i="9"/>
  <c r="B77" i="9"/>
  <c r="B65" i="9"/>
  <c r="C31" i="21"/>
  <c r="D31" i="21" s="1"/>
  <c r="B42" i="9"/>
  <c r="B47" i="9"/>
  <c r="C39" i="21"/>
  <c r="D39" i="21" s="1"/>
  <c r="C26" i="21"/>
  <c r="D26" i="21" s="1"/>
  <c r="B34" i="9"/>
  <c r="C20" i="21"/>
  <c r="D20" i="21" s="1"/>
  <c r="B28" i="9"/>
  <c r="C24" i="21"/>
  <c r="D24" i="21" s="1"/>
  <c r="B32" i="9"/>
  <c r="C51" i="21"/>
  <c r="D51" i="21" s="1"/>
  <c r="B85" i="9"/>
  <c r="L10" i="16"/>
  <c r="L90" i="16"/>
  <c r="P151" i="12"/>
  <c r="P147" i="12"/>
  <c r="P135" i="12"/>
  <c r="P131" i="12"/>
  <c r="P127" i="12"/>
  <c r="P119" i="12"/>
  <c r="P99" i="12"/>
  <c r="L205" i="16" s="1"/>
  <c r="L51" i="16"/>
  <c r="P91" i="12"/>
  <c r="L197" i="16" s="1"/>
  <c r="P87" i="12"/>
  <c r="L193" i="16" s="1"/>
  <c r="P71" i="12"/>
  <c r="L171" i="16"/>
  <c r="P67" i="12"/>
  <c r="P51" i="12"/>
  <c r="L159" i="16"/>
  <c r="L55" i="16"/>
  <c r="P130" i="12"/>
  <c r="L83" i="16"/>
  <c r="P74" i="12"/>
  <c r="L180" i="16" s="1"/>
  <c r="P34" i="12"/>
  <c r="P26" i="12"/>
  <c r="L102" i="16"/>
  <c r="P121" i="12"/>
  <c r="L88" i="16"/>
  <c r="P109" i="12"/>
  <c r="P101" i="12"/>
  <c r="L207" i="16" s="1"/>
  <c r="P97" i="12"/>
  <c r="L203" i="16" s="1"/>
  <c r="P89" i="12"/>
  <c r="L195" i="16" s="1"/>
  <c r="L81" i="16"/>
  <c r="P69" i="12"/>
  <c r="L175" i="16" s="1"/>
  <c r="L9" i="16"/>
  <c r="L69" i="16"/>
  <c r="P45" i="12"/>
  <c r="L129" i="16"/>
  <c r="P37" i="12"/>
  <c r="P33" i="12"/>
  <c r="P25" i="12"/>
  <c r="B175" i="9"/>
  <c r="B176" i="9"/>
  <c r="B172" i="9"/>
  <c r="P84" i="12"/>
  <c r="L190" i="16" s="1"/>
  <c r="L106" i="16"/>
  <c r="L100" i="16"/>
  <c r="P24" i="12"/>
  <c r="L130" i="16" s="1"/>
  <c r="P120" i="12"/>
  <c r="L93" i="16"/>
  <c r="P44" i="12"/>
  <c r="L65" i="16"/>
  <c r="P116" i="12"/>
  <c r="P112" i="12"/>
  <c r="L133" i="16"/>
  <c r="P108" i="12"/>
  <c r="L126" i="16"/>
  <c r="L97" i="16"/>
  <c r="P148" i="12"/>
  <c r="P132" i="12"/>
  <c r="P12" i="12"/>
  <c r="L77" i="16"/>
  <c r="L80" i="16"/>
  <c r="P30" i="12"/>
  <c r="B51" i="9"/>
  <c r="C43" i="21"/>
  <c r="D43" i="21" s="1"/>
  <c r="B35" i="10" l="1"/>
  <c r="I37" i="9" s="1"/>
  <c r="B47" i="10"/>
  <c r="D44" i="16" s="1"/>
  <c r="B17" i="10"/>
  <c r="D14" i="16" s="1"/>
  <c r="B23" i="10"/>
  <c r="I25" i="9" s="1"/>
  <c r="B15" i="10"/>
  <c r="I17" i="9" s="1"/>
  <c r="C54" i="21"/>
  <c r="D54" i="21" s="1"/>
  <c r="L145" i="16"/>
  <c r="B182" i="9"/>
  <c r="L125" i="16"/>
  <c r="B22" i="9"/>
  <c r="B18" i="9"/>
  <c r="Q9" i="12"/>
  <c r="R9" i="12" s="1"/>
  <c r="Q13" i="12"/>
  <c r="S13" i="12" s="1"/>
  <c r="Q17" i="12"/>
  <c r="S17" i="12" s="1"/>
  <c r="Q10" i="12"/>
  <c r="S10" i="12" s="1"/>
  <c r="Q26" i="12"/>
  <c r="S26" i="12" s="1"/>
  <c r="L73" i="16"/>
  <c r="L61" i="16"/>
  <c r="B19" i="10"/>
  <c r="I21" i="9" s="1"/>
  <c r="B18" i="10"/>
  <c r="D15" i="16" s="1"/>
  <c r="L140" i="16"/>
  <c r="L71" i="16"/>
  <c r="L63" i="16"/>
  <c r="K4" i="9"/>
  <c r="Q19" i="12"/>
  <c r="R19" i="12" s="1"/>
  <c r="Q23" i="12"/>
  <c r="R23" i="12" s="1"/>
  <c r="T23" i="12" s="1"/>
  <c r="Q24" i="12"/>
  <c r="R24" i="12" s="1"/>
  <c r="T24" i="12" s="1"/>
  <c r="O130" i="16" s="1"/>
  <c r="S9" i="12"/>
  <c r="Q8" i="12"/>
  <c r="R8" i="12" s="1"/>
  <c r="Q172" i="12"/>
  <c r="Q173" i="12"/>
  <c r="Q174" i="12"/>
  <c r="Q175" i="12"/>
  <c r="Q176" i="12"/>
  <c r="Q177" i="12"/>
  <c r="Q178" i="12"/>
  <c r="Q179" i="12"/>
  <c r="Q180" i="12"/>
  <c r="Q181" i="12"/>
  <c r="Q182" i="12"/>
  <c r="Q183" i="12"/>
  <c r="Q184" i="12"/>
  <c r="Q185" i="12"/>
  <c r="Q194" i="12"/>
  <c r="Q32" i="12"/>
  <c r="Q36" i="12"/>
  <c r="Q40" i="12"/>
  <c r="Q44" i="12"/>
  <c r="Q48" i="12"/>
  <c r="Q52" i="12"/>
  <c r="Q56" i="12"/>
  <c r="Q60" i="12"/>
  <c r="Q64" i="12"/>
  <c r="Q68" i="12"/>
  <c r="Q72" i="12"/>
  <c r="Q76" i="12"/>
  <c r="Q80" i="12"/>
  <c r="Q84" i="12"/>
  <c r="Q88" i="12"/>
  <c r="Q92" i="12"/>
  <c r="Q96" i="12"/>
  <c r="Q100" i="12"/>
  <c r="Q104" i="12"/>
  <c r="Q108" i="12"/>
  <c r="Q112" i="12"/>
  <c r="Q116" i="12"/>
  <c r="Q120" i="12"/>
  <c r="Q124" i="12"/>
  <c r="Q131" i="12"/>
  <c r="Q135" i="12"/>
  <c r="Q139" i="12"/>
  <c r="Q143" i="12"/>
  <c r="Q150" i="12"/>
  <c r="Q153" i="12"/>
  <c r="Q157" i="12"/>
  <c r="Q161" i="12"/>
  <c r="Q165" i="12"/>
  <c r="Q169" i="12"/>
  <c r="Q130" i="12"/>
  <c r="Q160" i="12"/>
  <c r="Q186" i="12"/>
  <c r="Q187" i="12"/>
  <c r="Q195" i="12"/>
  <c r="Q196" i="12"/>
  <c r="Q197" i="12"/>
  <c r="Q198" i="12"/>
  <c r="Q199" i="12"/>
  <c r="Q200" i="12"/>
  <c r="Q201" i="12"/>
  <c r="Q33" i="12"/>
  <c r="Q37" i="12"/>
  <c r="Q41" i="12"/>
  <c r="Q45" i="12"/>
  <c r="Q49" i="12"/>
  <c r="Q53" i="12"/>
  <c r="Q57" i="12"/>
  <c r="Q61" i="12"/>
  <c r="Q65" i="12"/>
  <c r="Q69" i="12"/>
  <c r="Q73" i="12"/>
  <c r="Q77" i="12"/>
  <c r="Q81" i="12"/>
  <c r="Q85" i="12"/>
  <c r="Q89" i="12"/>
  <c r="Q93" i="12"/>
  <c r="Q97" i="12"/>
  <c r="Q101" i="12"/>
  <c r="Q105" i="12"/>
  <c r="Q109" i="12"/>
  <c r="Q113" i="12"/>
  <c r="Q117" i="12"/>
  <c r="Q121" i="12"/>
  <c r="Q125" i="12"/>
  <c r="Q128" i="12"/>
  <c r="Q132" i="12"/>
  <c r="Q136" i="12"/>
  <c r="Q140" i="12"/>
  <c r="Q144" i="12"/>
  <c r="Q147" i="12"/>
  <c r="Q151" i="12"/>
  <c r="Q154" i="12"/>
  <c r="Q158" i="12"/>
  <c r="Q162" i="12"/>
  <c r="Q166" i="12"/>
  <c r="Q170" i="12"/>
  <c r="Q193" i="12"/>
  <c r="Q35" i="12"/>
  <c r="Q47" i="12"/>
  <c r="Q59" i="12"/>
  <c r="Q67" i="12"/>
  <c r="Q79" i="12"/>
  <c r="Q91" i="12"/>
  <c r="Q103" i="12"/>
  <c r="Q115" i="12"/>
  <c r="Q127" i="12"/>
  <c r="Q142" i="12"/>
  <c r="Q168" i="12"/>
  <c r="Q188" i="12"/>
  <c r="Q189" i="12"/>
  <c r="Q190" i="12"/>
  <c r="Q191" i="12"/>
  <c r="Q34" i="12"/>
  <c r="Q38" i="12"/>
  <c r="Q42" i="12"/>
  <c r="Q46" i="12"/>
  <c r="Q50" i="12"/>
  <c r="Q54" i="12"/>
  <c r="Q58" i="12"/>
  <c r="Q62" i="12"/>
  <c r="Q66" i="12"/>
  <c r="Q70" i="12"/>
  <c r="Q74" i="12"/>
  <c r="Q78" i="12"/>
  <c r="Q82" i="12"/>
  <c r="Q86" i="12"/>
  <c r="Q90" i="12"/>
  <c r="Q94" i="12"/>
  <c r="Q98" i="12"/>
  <c r="Q102" i="12"/>
  <c r="Q106" i="12"/>
  <c r="Q110" i="12"/>
  <c r="Q114" i="12"/>
  <c r="Q118" i="12"/>
  <c r="Q122" i="12"/>
  <c r="Q126" i="12"/>
  <c r="Q129" i="12"/>
  <c r="Q133" i="12"/>
  <c r="Q137" i="12"/>
  <c r="Q141" i="12"/>
  <c r="Q145" i="12"/>
  <c r="Q148" i="12"/>
  <c r="Q152" i="12"/>
  <c r="Q155" i="12"/>
  <c r="Q159" i="12"/>
  <c r="Q163" i="12"/>
  <c r="Q167" i="12"/>
  <c r="Q171" i="12"/>
  <c r="Q31" i="12"/>
  <c r="Q43" i="12"/>
  <c r="Q51" i="12"/>
  <c r="Q63" i="12"/>
  <c r="Q75" i="12"/>
  <c r="Q87" i="12"/>
  <c r="Q99" i="12"/>
  <c r="Q111" i="12"/>
  <c r="Q123" i="12"/>
  <c r="Q138" i="12"/>
  <c r="Q149" i="12"/>
  <c r="Q164" i="12"/>
  <c r="Q192" i="12"/>
  <c r="Q39" i="12"/>
  <c r="Q55" i="12"/>
  <c r="Q71" i="12"/>
  <c r="Q83" i="12"/>
  <c r="Q95" i="12"/>
  <c r="Q107" i="12"/>
  <c r="Q119" i="12"/>
  <c r="Q134" i="12"/>
  <c r="Q146" i="12"/>
  <c r="Q156" i="12"/>
  <c r="Q5" i="12"/>
  <c r="S5" i="12" s="1"/>
  <c r="L131" i="16"/>
  <c r="L70" i="16"/>
  <c r="L66" i="16"/>
  <c r="L62" i="16"/>
  <c r="L150" i="16"/>
  <c r="L14" i="16"/>
  <c r="L117" i="16"/>
  <c r="L113" i="16"/>
  <c r="L177" i="16"/>
  <c r="L136" i="16"/>
  <c r="L132" i="16"/>
  <c r="D205" i="16"/>
  <c r="I210" i="9"/>
  <c r="D197" i="16"/>
  <c r="I202" i="9"/>
  <c r="D179" i="16"/>
  <c r="I184" i="9"/>
  <c r="B27" i="10"/>
  <c r="D24" i="16" s="1"/>
  <c r="B37" i="10"/>
  <c r="D34" i="16" s="1"/>
  <c r="D207" i="16"/>
  <c r="I212" i="9"/>
  <c r="D199" i="16"/>
  <c r="I204" i="9"/>
  <c r="D184" i="16"/>
  <c r="I189" i="9"/>
  <c r="B138" i="10"/>
  <c r="D135" i="16" s="1"/>
  <c r="D194" i="16"/>
  <c r="I199" i="9"/>
  <c r="D186" i="16"/>
  <c r="I191" i="9"/>
  <c r="D183" i="16"/>
  <c r="I188" i="9"/>
  <c r="D181" i="16"/>
  <c r="I186" i="9"/>
  <c r="D178" i="16"/>
  <c r="I183" i="9"/>
  <c r="D201" i="16"/>
  <c r="I206" i="9"/>
  <c r="D189" i="16"/>
  <c r="I194" i="9"/>
  <c r="B136" i="10"/>
  <c r="I138" i="9" s="1"/>
  <c r="D206" i="16"/>
  <c r="I211" i="9"/>
  <c r="D204" i="16"/>
  <c r="I209" i="9"/>
  <c r="D202" i="16"/>
  <c r="I207" i="9"/>
  <c r="D200" i="16"/>
  <c r="I205" i="9"/>
  <c r="D198" i="16"/>
  <c r="I203" i="9"/>
  <c r="D196" i="16"/>
  <c r="I201" i="9"/>
  <c r="D192" i="16"/>
  <c r="I197" i="9"/>
  <c r="D190" i="16"/>
  <c r="I195" i="9"/>
  <c r="D188" i="16"/>
  <c r="I193" i="9"/>
  <c r="B43" i="10"/>
  <c r="B24" i="10"/>
  <c r="I26" i="9" s="1"/>
  <c r="B30" i="10"/>
  <c r="I32" i="9" s="1"/>
  <c r="B20" i="10"/>
  <c r="D17" i="16" s="1"/>
  <c r="B36" i="10"/>
  <c r="B33" i="10"/>
  <c r="I35" i="9" s="1"/>
  <c r="B29" i="10"/>
  <c r="I31" i="9" s="1"/>
  <c r="B22" i="10"/>
  <c r="I24" i="9" s="1"/>
  <c r="B31" i="10"/>
  <c r="D28" i="16" s="1"/>
  <c r="B25" i="10"/>
  <c r="D22" i="16" s="1"/>
  <c r="D203" i="16"/>
  <c r="I208" i="9"/>
  <c r="D191" i="16"/>
  <c r="I196" i="9"/>
  <c r="B127" i="10"/>
  <c r="I129" i="9" s="1"/>
  <c r="D195" i="16"/>
  <c r="I200" i="9"/>
  <c r="D193" i="16"/>
  <c r="I198" i="9"/>
  <c r="D187" i="16"/>
  <c r="I192" i="9"/>
  <c r="D185" i="16"/>
  <c r="I190" i="9"/>
  <c r="D182" i="16"/>
  <c r="I187" i="9"/>
  <c r="D180" i="16"/>
  <c r="I185" i="9"/>
  <c r="P13" i="12"/>
  <c r="L42" i="16" s="1"/>
  <c r="P35" i="12"/>
  <c r="L141" i="16" s="1"/>
  <c r="B30" i="9"/>
  <c r="B61" i="9"/>
  <c r="C5" i="21"/>
  <c r="D5" i="21" s="1"/>
  <c r="B174" i="9"/>
  <c r="C18" i="21"/>
  <c r="D18" i="21" s="1"/>
  <c r="C140" i="21"/>
  <c r="D140" i="21" s="1"/>
  <c r="H8" i="16"/>
  <c r="H178" i="16"/>
  <c r="P170" i="12"/>
  <c r="L76" i="16" s="1"/>
  <c r="F62" i="16"/>
  <c r="F123" i="9"/>
  <c r="O129" i="16"/>
  <c r="I92" i="9"/>
  <c r="C143" i="21"/>
  <c r="D143" i="21" s="1"/>
  <c r="C151" i="21"/>
  <c r="D151" i="21" s="1"/>
  <c r="B139" i="9"/>
  <c r="C127" i="21"/>
  <c r="D127" i="21" s="1"/>
  <c r="B131" i="9"/>
  <c r="C75" i="21"/>
  <c r="D75" i="21" s="1"/>
  <c r="B119" i="9"/>
  <c r="B115" i="9"/>
  <c r="B95" i="9"/>
  <c r="C71" i="21"/>
  <c r="D71" i="21" s="1"/>
  <c r="B123" i="9"/>
  <c r="C67" i="21"/>
  <c r="D67" i="21" s="1"/>
  <c r="B69" i="9"/>
  <c r="C47" i="21"/>
  <c r="D47" i="21" s="1"/>
  <c r="B67" i="9"/>
  <c r="B169" i="9"/>
  <c r="C161" i="21"/>
  <c r="D161" i="21" s="1"/>
  <c r="B133" i="9"/>
  <c r="B165" i="9"/>
  <c r="C157" i="21"/>
  <c r="D157" i="21" s="1"/>
  <c r="B82" i="9"/>
  <c r="C129" i="21"/>
  <c r="D129" i="21" s="1"/>
  <c r="B149" i="9"/>
  <c r="B179" i="9"/>
  <c r="C171" i="21"/>
  <c r="D171" i="21" s="1"/>
  <c r="B171" i="9"/>
  <c r="C163" i="21"/>
  <c r="D163" i="21" s="1"/>
  <c r="B167" i="9"/>
  <c r="C159" i="21"/>
  <c r="D159" i="21" s="1"/>
  <c r="B163" i="9"/>
  <c r="C155" i="21"/>
  <c r="D155" i="21" s="1"/>
  <c r="B181" i="9"/>
  <c r="C52" i="21"/>
  <c r="D52" i="21" s="1"/>
  <c r="B25" i="9"/>
  <c r="B117" i="9"/>
  <c r="B145" i="9"/>
  <c r="B161" i="9"/>
  <c r="B114" i="9"/>
  <c r="B170" i="9"/>
  <c r="C162" i="21"/>
  <c r="D162" i="21" s="1"/>
  <c r="C7" i="21"/>
  <c r="D7" i="21" s="1"/>
  <c r="L161" i="16"/>
  <c r="L138" i="16"/>
  <c r="L30" i="16"/>
  <c r="B78" i="9"/>
  <c r="B111" i="9"/>
  <c r="C58" i="21"/>
  <c r="D58" i="21" s="1"/>
  <c r="C99" i="21"/>
  <c r="D99" i="21" s="1"/>
  <c r="B74" i="9"/>
  <c r="B63" i="9"/>
  <c r="B64" i="9"/>
  <c r="B84" i="9"/>
  <c r="B31" i="9"/>
  <c r="C23" i="21"/>
  <c r="D23" i="21" s="1"/>
  <c r="B27" i="9"/>
  <c r="C19" i="21"/>
  <c r="D19" i="21" s="1"/>
  <c r="C41" i="21"/>
  <c r="D41" i="21" s="1"/>
  <c r="B162" i="9"/>
  <c r="C154" i="21"/>
  <c r="D154" i="21" s="1"/>
  <c r="C150" i="21"/>
  <c r="D150" i="21" s="1"/>
  <c r="B158" i="9"/>
  <c r="C146" i="21"/>
  <c r="D146" i="21" s="1"/>
  <c r="B154" i="9"/>
  <c r="B126" i="9"/>
  <c r="C118" i="21"/>
  <c r="D118" i="21" s="1"/>
  <c r="B122" i="9"/>
  <c r="C114" i="21"/>
  <c r="D114" i="21" s="1"/>
  <c r="B20" i="9"/>
  <c r="C12" i="21"/>
  <c r="D12" i="21" s="1"/>
  <c r="B134" i="9"/>
  <c r="B53" i="9"/>
  <c r="B45" i="9"/>
  <c r="C100" i="21"/>
  <c r="D100" i="21" s="1"/>
  <c r="B108" i="9"/>
  <c r="B96" i="9"/>
  <c r="C88" i="21"/>
  <c r="D88" i="21" s="1"/>
  <c r="B92" i="9"/>
  <c r="C84" i="21"/>
  <c r="D84" i="21" s="1"/>
  <c r="B166" i="9"/>
  <c r="B71" i="9"/>
  <c r="C95" i="21"/>
  <c r="D95" i="21" s="1"/>
  <c r="C48" i="21"/>
  <c r="D48" i="21" s="1"/>
  <c r="B87" i="9"/>
  <c r="C145" i="21"/>
  <c r="D145" i="21" s="1"/>
  <c r="B178" i="9"/>
  <c r="C113" i="21"/>
  <c r="D113" i="21" s="1"/>
  <c r="B157" i="9"/>
  <c r="L74" i="16"/>
  <c r="L154" i="16"/>
  <c r="L118" i="16"/>
  <c r="L157" i="16"/>
  <c r="L86" i="16"/>
  <c r="L57" i="16"/>
  <c r="L173" i="16"/>
  <c r="D176" i="16"/>
  <c r="L146" i="16"/>
  <c r="O114" i="16"/>
  <c r="F179" i="9"/>
  <c r="L134" i="16"/>
  <c r="P162" i="12"/>
  <c r="L68" i="16" s="1"/>
  <c r="P158" i="12"/>
  <c r="L64" i="16" s="1"/>
  <c r="P154" i="12"/>
  <c r="L60" i="16" s="1"/>
  <c r="P46" i="12"/>
  <c r="L152" i="16" s="1"/>
  <c r="L35" i="16"/>
  <c r="P3" i="12"/>
  <c r="L109" i="16" s="1"/>
  <c r="P17" i="12"/>
  <c r="L123" i="16" s="1"/>
  <c r="P122" i="12"/>
  <c r="P118" i="12"/>
  <c r="P102" i="12"/>
  <c r="L8" i="16" s="1"/>
  <c r="P70" i="12"/>
  <c r="L176" i="16" s="1"/>
  <c r="P54" i="12"/>
  <c r="L160" i="16" s="1"/>
  <c r="P166" i="12"/>
  <c r="L72" i="16" s="1"/>
  <c r="P138" i="12"/>
  <c r="L44" i="16" s="1"/>
  <c r="P134" i="12"/>
  <c r="P66" i="12"/>
  <c r="L172" i="16" s="1"/>
  <c r="P142" i="12"/>
  <c r="L48" i="16" s="1"/>
  <c r="P110" i="12"/>
  <c r="P98" i="12"/>
  <c r="L204" i="16" s="1"/>
  <c r="P94" i="12"/>
  <c r="L200" i="16" s="1"/>
  <c r="P90" i="12"/>
  <c r="L196" i="16" s="1"/>
  <c r="P86" i="12"/>
  <c r="L192" i="16" s="1"/>
  <c r="P58" i="12"/>
  <c r="L164" i="16" s="1"/>
  <c r="P42" i="12"/>
  <c r="P31" i="12"/>
  <c r="L137" i="16" s="1"/>
  <c r="P150" i="12"/>
  <c r="L56" i="16" s="1"/>
  <c r="P146" i="12"/>
  <c r="L52" i="16" s="1"/>
  <c r="P106" i="12"/>
  <c r="L12" i="16" s="1"/>
  <c r="P62" i="12"/>
  <c r="L168" i="16" s="1"/>
  <c r="P50" i="12"/>
  <c r="P38" i="12"/>
  <c r="L144" i="16" s="1"/>
  <c r="P114" i="12"/>
  <c r="L20" i="16" s="1"/>
  <c r="P82" i="12"/>
  <c r="L188" i="16" s="1"/>
  <c r="P78" i="12"/>
  <c r="L184" i="16" s="1"/>
  <c r="P9" i="12"/>
  <c r="L32" i="16" s="1"/>
  <c r="D54" i="16"/>
  <c r="D99" i="16"/>
  <c r="I128" i="9"/>
  <c r="D77" i="16"/>
  <c r="D118" i="16"/>
  <c r="D48" i="16"/>
  <c r="I152" i="9"/>
  <c r="I87" i="9"/>
  <c r="I43" i="9"/>
  <c r="D169" i="16"/>
  <c r="D36" i="16"/>
  <c r="I167" i="9"/>
  <c r="I40" i="9"/>
  <c r="D126" i="16"/>
  <c r="H4" i="22"/>
  <c r="Q21" i="12"/>
  <c r="R21" i="12" s="1"/>
  <c r="Q30" i="12"/>
  <c r="S30" i="12" s="1"/>
  <c r="J2" i="21"/>
  <c r="Q3" i="12"/>
  <c r="S3" i="12" s="1"/>
  <c r="I79" i="9"/>
  <c r="I46" i="9"/>
  <c r="D157" i="16"/>
  <c r="D106" i="16"/>
  <c r="D143" i="16"/>
  <c r="I54" i="9"/>
  <c r="I158" i="9"/>
  <c r="I153" i="9"/>
  <c r="I144" i="9"/>
  <c r="I126" i="9"/>
  <c r="D110" i="16"/>
  <c r="I99" i="9"/>
  <c r="I177" i="9"/>
  <c r="I93" i="9"/>
  <c r="D101" i="16"/>
  <c r="D79" i="16"/>
  <c r="D130" i="16"/>
  <c r="D166" i="16"/>
  <c r="I71" i="9"/>
  <c r="D116" i="16"/>
  <c r="Y145" i="9"/>
  <c r="Q47" i="9"/>
  <c r="D86" i="16"/>
  <c r="I143" i="9"/>
  <c r="E147" i="16"/>
  <c r="D85" i="16"/>
  <c r="F152" i="9"/>
  <c r="G141" i="16"/>
  <c r="Q40" i="9"/>
  <c r="Q92" i="9"/>
  <c r="Q13" i="9"/>
  <c r="F139" i="16"/>
  <c r="F23" i="16"/>
  <c r="F100" i="9"/>
  <c r="Q124" i="9"/>
  <c r="Q160" i="9"/>
  <c r="Y38" i="9"/>
  <c r="Y138" i="9"/>
  <c r="F115" i="16"/>
  <c r="I156" i="9"/>
  <c r="D151" i="16"/>
  <c r="Q156" i="9"/>
  <c r="E151" i="16"/>
  <c r="E143" i="16"/>
  <c r="Q148" i="9"/>
  <c r="E135" i="16"/>
  <c r="Q140" i="9"/>
  <c r="E99" i="16"/>
  <c r="Q104" i="9"/>
  <c r="Q80" i="9"/>
  <c r="E75" i="16"/>
  <c r="Q68" i="9"/>
  <c r="E63" i="16"/>
  <c r="Q56" i="9"/>
  <c r="E51" i="16"/>
  <c r="E19" i="16"/>
  <c r="Q24" i="9"/>
  <c r="Y170" i="9"/>
  <c r="G165" i="16"/>
  <c r="G157" i="16"/>
  <c r="Y162" i="9"/>
  <c r="G149" i="16"/>
  <c r="Y154" i="9"/>
  <c r="Y130" i="9"/>
  <c r="G125" i="16"/>
  <c r="G117" i="16"/>
  <c r="Y122" i="9"/>
  <c r="G109" i="16"/>
  <c r="Y114" i="9"/>
  <c r="Y106" i="9"/>
  <c r="G101" i="16"/>
  <c r="G93" i="16"/>
  <c r="Y98" i="9"/>
  <c r="G85" i="16"/>
  <c r="Y90" i="9"/>
  <c r="G65" i="16"/>
  <c r="Y70" i="9"/>
  <c r="Y58" i="9"/>
  <c r="G53" i="16"/>
  <c r="Y50" i="9"/>
  <c r="G45" i="16"/>
  <c r="Y30" i="9"/>
  <c r="G25" i="16"/>
  <c r="Y22" i="9"/>
  <c r="G17" i="16"/>
  <c r="F8" i="16"/>
  <c r="F13" i="9"/>
  <c r="F168" i="9"/>
  <c r="F163" i="16"/>
  <c r="F132" i="9"/>
  <c r="F127" i="16"/>
  <c r="F119" i="16"/>
  <c r="F124" i="9"/>
  <c r="F87" i="16"/>
  <c r="F92" i="9"/>
  <c r="F84" i="9"/>
  <c r="F79" i="16"/>
  <c r="F76" i="9"/>
  <c r="F71" i="16"/>
  <c r="F68" i="9"/>
  <c r="F63" i="16"/>
  <c r="F51" i="16"/>
  <c r="F56" i="9"/>
  <c r="F48" i="9"/>
  <c r="F43" i="16"/>
  <c r="F35" i="16"/>
  <c r="F40" i="9"/>
  <c r="F32" i="9"/>
  <c r="F27" i="16"/>
  <c r="F11" i="16"/>
  <c r="F16" i="9"/>
  <c r="D159" i="16"/>
  <c r="I164" i="9"/>
  <c r="D64" i="16"/>
  <c r="I83" i="9"/>
  <c r="I151" i="9"/>
  <c r="F36" i="9"/>
  <c r="Y42" i="9"/>
  <c r="Y142" i="9"/>
  <c r="E39" i="16"/>
  <c r="F44" i="9"/>
  <c r="G81" i="16"/>
  <c r="F111" i="16"/>
  <c r="E59" i="16"/>
  <c r="F172" i="9"/>
  <c r="D109" i="16"/>
  <c r="I114" i="9"/>
  <c r="I98" i="9"/>
  <c r="D93" i="16"/>
  <c r="E175" i="16"/>
  <c r="Q180" i="9"/>
  <c r="Q144" i="9"/>
  <c r="E139" i="16"/>
  <c r="Q136" i="9"/>
  <c r="E131" i="16"/>
  <c r="Q128" i="9"/>
  <c r="E123" i="16"/>
  <c r="E103" i="16"/>
  <c r="Q108" i="9"/>
  <c r="Q96" i="9"/>
  <c r="E91" i="16"/>
  <c r="Q84" i="9"/>
  <c r="E79" i="16"/>
  <c r="E47" i="16"/>
  <c r="Q52" i="9"/>
  <c r="E23" i="16"/>
  <c r="Q28" i="9"/>
  <c r="E15" i="16"/>
  <c r="Q20" i="9"/>
  <c r="G173" i="16"/>
  <c r="Y178" i="9"/>
  <c r="Y166" i="9"/>
  <c r="G161" i="16"/>
  <c r="G153" i="16"/>
  <c r="Y158" i="9"/>
  <c r="G145" i="16"/>
  <c r="Y150" i="9"/>
  <c r="Y134" i="9"/>
  <c r="G129" i="16"/>
  <c r="G113" i="16"/>
  <c r="Y118" i="9"/>
  <c r="G105" i="16"/>
  <c r="Y110" i="9"/>
  <c r="G97" i="16"/>
  <c r="Y102" i="9"/>
  <c r="G89" i="16"/>
  <c r="Y94" i="9"/>
  <c r="Y74" i="9"/>
  <c r="G69" i="16"/>
  <c r="Y62" i="9"/>
  <c r="G57" i="16"/>
  <c r="Y46" i="9"/>
  <c r="G41" i="16"/>
  <c r="G13" i="16"/>
  <c r="Y18" i="9"/>
  <c r="F180" i="9"/>
  <c r="F175" i="16"/>
  <c r="F155" i="16"/>
  <c r="F160" i="9"/>
  <c r="F143" i="16"/>
  <c r="F148" i="9"/>
  <c r="F135" i="16"/>
  <c r="F140" i="9"/>
  <c r="F128" i="9"/>
  <c r="F123" i="16"/>
  <c r="F91" i="16"/>
  <c r="F96" i="9"/>
  <c r="F83" i="16"/>
  <c r="F88" i="9"/>
  <c r="F75" i="16"/>
  <c r="F80" i="9"/>
  <c r="F64" i="9"/>
  <c r="F59" i="16"/>
  <c r="F15" i="16"/>
  <c r="F20" i="9"/>
  <c r="G121" i="16"/>
  <c r="G177" i="16"/>
  <c r="E71" i="16"/>
  <c r="E127" i="16"/>
  <c r="E163" i="16"/>
  <c r="I105" i="9"/>
  <c r="D120" i="16"/>
  <c r="I58" i="9"/>
  <c r="F103" i="16"/>
  <c r="F151" i="16"/>
  <c r="Q164" i="9"/>
  <c r="F112" i="9"/>
  <c r="Q88" i="9"/>
  <c r="G21" i="16"/>
  <c r="F99" i="16"/>
  <c r="E67" i="16"/>
  <c r="F72" i="9"/>
  <c r="Y82" i="9"/>
  <c r="Q32" i="9"/>
  <c r="D156" i="16"/>
  <c r="I161" i="9"/>
  <c r="I109" i="9"/>
  <c r="D104" i="16"/>
  <c r="E167" i="16"/>
  <c r="Q172" i="9"/>
  <c r="Q112" i="9"/>
  <c r="E107" i="16"/>
  <c r="Q100" i="9"/>
  <c r="E95" i="16"/>
  <c r="E55" i="16"/>
  <c r="Q60" i="9"/>
  <c r="E43" i="16"/>
  <c r="Q48" i="9"/>
  <c r="E31" i="16"/>
  <c r="Q36" i="9"/>
  <c r="E11" i="16"/>
  <c r="Q16" i="9"/>
  <c r="Y174" i="9"/>
  <c r="G169" i="16"/>
  <c r="G73" i="16"/>
  <c r="Y78" i="9"/>
  <c r="G61" i="16"/>
  <c r="Y66" i="9"/>
  <c r="G49" i="16"/>
  <c r="Y54" i="9"/>
  <c r="Y34" i="9"/>
  <c r="G29" i="16"/>
  <c r="F164" i="9"/>
  <c r="F159" i="16"/>
  <c r="F60" i="9"/>
  <c r="F55" i="16"/>
  <c r="F19" i="16"/>
  <c r="F24" i="9"/>
  <c r="D125" i="16"/>
  <c r="F136" i="9"/>
  <c r="E171" i="16"/>
  <c r="F47" i="16"/>
  <c r="E111" i="16"/>
  <c r="Q120" i="9"/>
  <c r="F171" i="16"/>
  <c r="F15" i="9"/>
  <c r="I36" i="9"/>
  <c r="G124" i="16"/>
  <c r="F106" i="16"/>
  <c r="F114" i="16"/>
  <c r="F43" i="9"/>
  <c r="F87" i="9"/>
  <c r="G60" i="16"/>
  <c r="G128" i="16"/>
  <c r="Y109" i="9"/>
  <c r="F115" i="9"/>
  <c r="E162" i="16"/>
  <c r="E14" i="16"/>
  <c r="F23" i="9"/>
  <c r="E9" i="16"/>
  <c r="G72" i="16"/>
  <c r="F167" i="9"/>
  <c r="F70" i="16"/>
  <c r="F134" i="16"/>
  <c r="E62" i="16"/>
  <c r="Y21" i="9"/>
  <c r="Q31" i="9"/>
  <c r="Q115" i="9"/>
  <c r="F19" i="9"/>
  <c r="F103" i="9"/>
  <c r="G144" i="16"/>
  <c r="G24" i="16"/>
  <c r="F47" i="9"/>
  <c r="F154" i="16"/>
  <c r="F175" i="9"/>
  <c r="Q63" i="9"/>
  <c r="D62" i="16"/>
  <c r="E74" i="16"/>
  <c r="Y57" i="9"/>
  <c r="E142" i="16"/>
  <c r="Q83" i="9"/>
  <c r="F9" i="16"/>
  <c r="F79" i="9"/>
  <c r="G112" i="16"/>
  <c r="F46" i="16"/>
  <c r="F126" i="16"/>
  <c r="G40" i="16"/>
  <c r="E54" i="16"/>
  <c r="Y25" i="9"/>
  <c r="G164" i="16"/>
  <c r="Q123" i="9"/>
  <c r="Q75" i="9"/>
  <c r="E38" i="16"/>
  <c r="F59" i="9"/>
  <c r="Q111" i="9"/>
  <c r="E170" i="16"/>
  <c r="F135" i="9"/>
  <c r="Q163" i="9"/>
  <c r="E150" i="16"/>
  <c r="Q23" i="9"/>
  <c r="F35" i="9"/>
  <c r="F66" i="16"/>
  <c r="Q95" i="9"/>
  <c r="Y85" i="9"/>
  <c r="E86" i="16"/>
  <c r="Y61" i="9"/>
  <c r="F143" i="9"/>
  <c r="Y125" i="9"/>
  <c r="F50" i="16"/>
  <c r="F63" i="9"/>
  <c r="F86" i="16"/>
  <c r="Y37" i="9"/>
  <c r="G28" i="16"/>
  <c r="F158" i="16"/>
  <c r="Q139" i="9"/>
  <c r="Q143" i="9"/>
  <c r="F27" i="9"/>
  <c r="G88" i="16"/>
  <c r="G84" i="16"/>
  <c r="F83" i="9"/>
  <c r="Q103" i="9"/>
  <c r="Y121" i="9"/>
  <c r="E10" i="16"/>
  <c r="Q179" i="9"/>
  <c r="F94" i="16"/>
  <c r="Y81" i="9"/>
  <c r="Y53" i="9"/>
  <c r="Q39" i="9"/>
  <c r="Y17" i="9"/>
  <c r="Y173" i="9"/>
  <c r="E102" i="16"/>
  <c r="G148" i="16"/>
  <c r="F166" i="16"/>
  <c r="F39" i="9"/>
  <c r="E126" i="16"/>
  <c r="E154" i="16"/>
  <c r="F31" i="9"/>
  <c r="Y73" i="9"/>
  <c r="F127" i="9"/>
  <c r="Y165" i="9"/>
  <c r="G132" i="16"/>
  <c r="F95" i="9"/>
  <c r="F142" i="16"/>
  <c r="F151" i="9"/>
  <c r="E66" i="16"/>
  <c r="G136" i="16"/>
  <c r="F102" i="16"/>
  <c r="Q55" i="9"/>
  <c r="Y113" i="9"/>
  <c r="Q27" i="9"/>
  <c r="G44" i="16"/>
  <c r="G92" i="16"/>
  <c r="Y105" i="9"/>
  <c r="Q35" i="9"/>
  <c r="G152" i="16"/>
  <c r="Y41" i="9"/>
  <c r="G96" i="16"/>
  <c r="E114" i="16"/>
  <c r="E122" i="16"/>
  <c r="Q99" i="9"/>
  <c r="E46" i="16"/>
  <c r="E146" i="16"/>
  <c r="Q171" i="9"/>
  <c r="Q87" i="9"/>
  <c r="Y181" i="9"/>
  <c r="G156" i="16"/>
  <c r="Y177" i="9"/>
  <c r="F150" i="16"/>
  <c r="G64" i="16"/>
  <c r="I101" i="9"/>
  <c r="E130" i="16"/>
  <c r="L26" i="16"/>
  <c r="H4" i="14"/>
  <c r="L95" i="16"/>
  <c r="B177" i="9"/>
  <c r="L148" i="16"/>
  <c r="L104" i="16"/>
  <c r="L156" i="16"/>
  <c r="L75" i="16"/>
  <c r="L87" i="16"/>
  <c r="Q18" i="12"/>
  <c r="Q15" i="12"/>
  <c r="S15" i="12" s="1"/>
  <c r="C44" i="21"/>
  <c r="D44" i="21" s="1"/>
  <c r="C33" i="21"/>
  <c r="D33" i="21" s="1"/>
  <c r="B120" i="9"/>
  <c r="C144" i="21"/>
  <c r="D144" i="21" s="1"/>
  <c r="L37" i="16"/>
  <c r="L15" i="16"/>
  <c r="Q2" i="12"/>
  <c r="D25" i="16"/>
  <c r="Q25" i="12"/>
  <c r="S25" i="12" s="1"/>
  <c r="Q29" i="12"/>
  <c r="S29" i="12" s="1"/>
  <c r="L54" i="16"/>
  <c r="L33" i="16"/>
  <c r="Q16" i="12"/>
  <c r="Q14" i="12"/>
  <c r="B29" i="9"/>
  <c r="Q22" i="12"/>
  <c r="S22" i="12" s="1"/>
  <c r="C25" i="21"/>
  <c r="D25" i="21" s="1"/>
  <c r="B24" i="9"/>
  <c r="B124" i="9"/>
  <c r="Q6" i="12"/>
  <c r="L17" i="16"/>
  <c r="B98" i="9"/>
  <c r="Q20" i="12"/>
  <c r="R20" i="12" s="1"/>
  <c r="C2" i="10"/>
  <c r="K4" i="18"/>
  <c r="L166" i="16"/>
  <c r="B180" i="9"/>
  <c r="L67" i="16"/>
  <c r="C3" i="16"/>
  <c r="C8" i="21"/>
  <c r="D8" i="21" s="1"/>
  <c r="B57" i="9"/>
  <c r="C80" i="21"/>
  <c r="D80" i="21" s="1"/>
  <c r="B140" i="9"/>
  <c r="B94" i="9"/>
  <c r="B91" i="9"/>
  <c r="Q12" i="12"/>
  <c r="L39" i="16"/>
  <c r="C11" i="21"/>
  <c r="D11" i="21" s="1"/>
  <c r="B19" i="9"/>
  <c r="L151" i="16"/>
  <c r="L139" i="16"/>
  <c r="L115" i="16"/>
  <c r="O115" i="16"/>
  <c r="L99" i="16"/>
  <c r="L107" i="16"/>
  <c r="C89" i="21"/>
  <c r="D89" i="21" s="1"/>
  <c r="B97" i="9"/>
  <c r="B40" i="9"/>
  <c r="C32" i="21"/>
  <c r="D32" i="21" s="1"/>
  <c r="C15" i="21"/>
  <c r="D15" i="21" s="1"/>
  <c r="B23" i="9"/>
  <c r="F41" i="9"/>
  <c r="F80" i="16"/>
  <c r="L53" i="16"/>
  <c r="B173" i="9"/>
  <c r="L147" i="16"/>
  <c r="L40" i="16"/>
  <c r="L143" i="16"/>
  <c r="L58" i="16"/>
  <c r="C135" i="21"/>
  <c r="D135" i="21" s="1"/>
  <c r="B146" i="9"/>
  <c r="C138" i="21"/>
  <c r="D138" i="21" s="1"/>
  <c r="C104" i="21"/>
  <c r="D104" i="21" s="1"/>
  <c r="B112" i="9"/>
  <c r="C96" i="21"/>
  <c r="D96" i="21" s="1"/>
  <c r="B104" i="9"/>
  <c r="C78" i="21"/>
  <c r="D78" i="21" s="1"/>
  <c r="B86" i="9"/>
  <c r="C42" i="21"/>
  <c r="D42" i="21" s="1"/>
  <c r="B50" i="9"/>
  <c r="B168" i="9"/>
  <c r="C6" i="21"/>
  <c r="D6" i="21" s="1"/>
  <c r="B14" i="9"/>
  <c r="L49" i="16"/>
  <c r="B43" i="9"/>
  <c r="C35" i="21"/>
  <c r="D35" i="21" s="1"/>
  <c r="F33" i="9"/>
  <c r="F129" i="9"/>
  <c r="L29" i="16"/>
  <c r="L18" i="16"/>
  <c r="L127" i="16"/>
  <c r="L111" i="16"/>
  <c r="B101" i="9"/>
  <c r="B37" i="9"/>
  <c r="B128" i="9"/>
  <c r="C147" i="21"/>
  <c r="D147" i="21" s="1"/>
  <c r="B155" i="9"/>
  <c r="B125" i="9"/>
  <c r="C117" i="21"/>
  <c r="D117" i="21" s="1"/>
  <c r="C50" i="21"/>
  <c r="D50" i="21" s="1"/>
  <c r="B58" i="9"/>
  <c r="B17" i="9"/>
  <c r="A17" i="9" s="1"/>
  <c r="C9" i="21"/>
  <c r="D9" i="21" s="1"/>
  <c r="A9" i="21" s="1"/>
  <c r="L119" i="16"/>
  <c r="G106" i="16"/>
  <c r="L94" i="16"/>
  <c r="L13" i="16"/>
  <c r="B136" i="9"/>
  <c r="C128" i="21"/>
  <c r="D128" i="21" s="1"/>
  <c r="B132" i="9"/>
  <c r="C124" i="21"/>
  <c r="D124" i="21" s="1"/>
  <c r="B72" i="9"/>
  <c r="C64" i="21"/>
  <c r="D64" i="21" s="1"/>
  <c r="B68" i="9"/>
  <c r="C60" i="21"/>
  <c r="D60" i="21" s="1"/>
  <c r="L174" i="16"/>
  <c r="B164" i="9"/>
  <c r="B93" i="9"/>
  <c r="C68" i="21"/>
  <c r="D68" i="21" s="1"/>
  <c r="B54" i="9"/>
  <c r="B110" i="9"/>
  <c r="C139" i="21"/>
  <c r="D139" i="21" s="1"/>
  <c r="C65" i="21"/>
  <c r="D65" i="21" s="1"/>
  <c r="Q11" i="12"/>
  <c r="B99" i="9"/>
  <c r="C133" i="21"/>
  <c r="D133" i="21" s="1"/>
  <c r="B70" i="9"/>
  <c r="L38" i="16"/>
  <c r="I23" i="9"/>
  <c r="D161" i="16"/>
  <c r="E120" i="16"/>
  <c r="F69" i="9"/>
  <c r="F76" i="16"/>
  <c r="G54" i="16"/>
  <c r="F96" i="16"/>
  <c r="F141" i="9"/>
  <c r="D173" i="16"/>
  <c r="D129" i="16"/>
  <c r="I173" i="9"/>
  <c r="I176" i="9"/>
  <c r="D177" i="16"/>
  <c r="F16" i="16"/>
  <c r="G126" i="16"/>
  <c r="Q77" i="9"/>
  <c r="Q129" i="9"/>
  <c r="G102" i="16"/>
  <c r="Y31" i="9"/>
  <c r="Y79" i="9"/>
  <c r="Q89" i="9"/>
  <c r="G66" i="16"/>
  <c r="G150" i="16"/>
  <c r="I120" i="9"/>
  <c r="I77" i="9"/>
  <c r="I147" i="9"/>
  <c r="I52" i="9"/>
  <c r="I170" i="9"/>
  <c r="F109" i="16"/>
  <c r="E17" i="16"/>
  <c r="F49" i="16"/>
  <c r="F61" i="16"/>
  <c r="I157" i="9"/>
  <c r="G35" i="16"/>
  <c r="F157" i="16"/>
  <c r="F62" i="9"/>
  <c r="F106" i="9"/>
  <c r="F154" i="9"/>
  <c r="G19" i="16"/>
  <c r="Y92" i="9"/>
  <c r="F141" i="16"/>
  <c r="F93" i="16"/>
  <c r="F65" i="16"/>
  <c r="F25" i="16"/>
  <c r="Y52" i="9"/>
  <c r="F46" i="9"/>
  <c r="F22" i="9"/>
  <c r="F90" i="9"/>
  <c r="F137" i="16"/>
  <c r="G11" i="16"/>
  <c r="G75" i="16"/>
  <c r="Q66" i="9"/>
  <c r="Q114" i="9"/>
  <c r="Y104" i="9"/>
  <c r="Y160" i="9"/>
  <c r="F77" i="16"/>
  <c r="F129" i="16"/>
  <c r="F174" i="9"/>
  <c r="Y72" i="9"/>
  <c r="Q82" i="9"/>
  <c r="F74" i="9"/>
  <c r="F13" i="16"/>
  <c r="G51" i="16"/>
  <c r="D92" i="16"/>
  <c r="F38" i="9"/>
  <c r="D59" i="16"/>
  <c r="G123" i="16"/>
  <c r="E49" i="16"/>
  <c r="F118" i="9"/>
  <c r="I56" i="9"/>
  <c r="I62" i="9"/>
  <c r="Q178" i="9"/>
  <c r="Y108" i="9"/>
  <c r="Q146" i="9"/>
  <c r="E177" i="16"/>
  <c r="G135" i="16"/>
  <c r="G143" i="16"/>
  <c r="F125" i="16"/>
  <c r="F89" i="16"/>
  <c r="F117" i="16"/>
  <c r="Y60" i="9"/>
  <c r="G91" i="16"/>
  <c r="F26" i="9"/>
  <c r="F45" i="16"/>
  <c r="F73" i="16"/>
  <c r="F86" i="9"/>
  <c r="F97" i="16"/>
  <c r="F105" i="16"/>
  <c r="F121" i="16"/>
  <c r="F138" i="9"/>
  <c r="F150" i="9"/>
  <c r="F158" i="9"/>
  <c r="F165" i="16"/>
  <c r="F177" i="16"/>
  <c r="G15" i="16"/>
  <c r="Y32" i="9"/>
  <c r="G59" i="16"/>
  <c r="G71" i="16"/>
  <c r="Y84" i="9"/>
  <c r="I180" i="9"/>
  <c r="I49" i="9"/>
  <c r="G127" i="16"/>
  <c r="Y44" i="9"/>
  <c r="I95" i="9"/>
  <c r="I96" i="9"/>
  <c r="G63" i="16"/>
  <c r="G8" i="16"/>
  <c r="G115" i="16"/>
  <c r="E113" i="16"/>
  <c r="Y48" i="9"/>
  <c r="F161" i="16"/>
  <c r="F34" i="9"/>
  <c r="I169" i="9"/>
  <c r="D42" i="16"/>
  <c r="D52" i="16"/>
  <c r="E85" i="16"/>
  <c r="I81" i="9"/>
  <c r="I146" i="9"/>
  <c r="Y88" i="9"/>
  <c r="Y116" i="9"/>
  <c r="F173" i="16"/>
  <c r="Y28" i="9"/>
  <c r="F42" i="9"/>
  <c r="D119" i="16"/>
  <c r="Y36" i="9"/>
  <c r="Y168" i="9"/>
  <c r="Y124" i="9"/>
  <c r="F58" i="9"/>
  <c r="E53" i="16"/>
  <c r="D158" i="16"/>
  <c r="E168" i="16"/>
  <c r="I165" i="9"/>
  <c r="I175" i="9"/>
  <c r="D128" i="16"/>
  <c r="D61" i="16"/>
  <c r="D155" i="16"/>
  <c r="D80" i="16"/>
  <c r="Q130" i="9"/>
  <c r="E165" i="16"/>
  <c r="Q106" i="9"/>
  <c r="I119" i="9"/>
  <c r="E37" i="16"/>
  <c r="Q166" i="9"/>
  <c r="I34" i="9"/>
  <c r="D105" i="16"/>
  <c r="G107" i="16"/>
  <c r="G147" i="16"/>
  <c r="Q86" i="9"/>
  <c r="I108" i="9"/>
  <c r="G139" i="16"/>
  <c r="I155" i="9"/>
  <c r="D98" i="16"/>
  <c r="Y136" i="9"/>
  <c r="E41" i="16"/>
  <c r="D45" i="16"/>
  <c r="E57" i="16"/>
  <c r="Y172" i="9"/>
  <c r="E169" i="16"/>
  <c r="Q122" i="9"/>
  <c r="E45" i="16"/>
  <c r="G171" i="16"/>
  <c r="E21" i="16"/>
  <c r="E33" i="16"/>
  <c r="Q154" i="9"/>
  <c r="G95" i="16"/>
  <c r="E89" i="16"/>
  <c r="D145" i="16"/>
  <c r="G159" i="16"/>
  <c r="I88" i="9"/>
  <c r="Q30" i="9"/>
  <c r="I113" i="9"/>
  <c r="E97" i="16"/>
  <c r="E145" i="16"/>
  <c r="E69" i="16"/>
  <c r="Y156" i="9"/>
  <c r="E93" i="16"/>
  <c r="I15" i="9"/>
  <c r="I44" i="9"/>
  <c r="Q142" i="9"/>
  <c r="Q126" i="9"/>
  <c r="E73" i="16"/>
  <c r="Q134" i="9"/>
  <c r="D71" i="16"/>
  <c r="Q18" i="9"/>
  <c r="I142" i="9"/>
  <c r="Y180" i="9"/>
  <c r="Q110" i="9"/>
  <c r="Q138" i="9"/>
  <c r="E65" i="16"/>
  <c r="D132" i="16"/>
  <c r="Q158" i="9"/>
  <c r="I51" i="9"/>
  <c r="E29" i="16"/>
  <c r="E157" i="16"/>
  <c r="Y103" i="9"/>
  <c r="F148" i="16"/>
  <c r="G62" i="16"/>
  <c r="I16" i="9"/>
  <c r="G10" i="16"/>
  <c r="F173" i="9"/>
  <c r="F165" i="9"/>
  <c r="E24" i="16"/>
  <c r="G158" i="16"/>
  <c r="Q53" i="9"/>
  <c r="F53" i="9"/>
  <c r="F77" i="9"/>
  <c r="D84" i="16"/>
  <c r="G70" i="16"/>
  <c r="F149" i="9"/>
  <c r="F116" i="16"/>
  <c r="Q157" i="9"/>
  <c r="Q117" i="9"/>
  <c r="E56" i="16"/>
  <c r="Y55" i="9"/>
  <c r="D140" i="16"/>
  <c r="F117" i="9"/>
  <c r="F105" i="9"/>
  <c r="F44" i="16"/>
  <c r="Y143" i="9"/>
  <c r="G94" i="16"/>
  <c r="D69" i="16"/>
  <c r="D68" i="16"/>
  <c r="I68" i="9"/>
  <c r="D134" i="16"/>
  <c r="D113" i="16"/>
  <c r="G18" i="16"/>
  <c r="Q81" i="9"/>
  <c r="D73" i="16"/>
  <c r="Q65" i="9"/>
  <c r="D154" i="16"/>
  <c r="Y127" i="9"/>
  <c r="E116" i="16"/>
  <c r="E12" i="16"/>
  <c r="G22" i="16"/>
  <c r="I127" i="9"/>
  <c r="E40" i="16"/>
  <c r="F20" i="16"/>
  <c r="Y179" i="9"/>
  <c r="Y39" i="9"/>
  <c r="E64" i="16"/>
  <c r="D102" i="16"/>
  <c r="F137" i="9"/>
  <c r="Y47" i="9"/>
  <c r="F92" i="16"/>
  <c r="F133" i="9"/>
  <c r="Q133" i="9"/>
  <c r="I14" i="9"/>
  <c r="F89" i="9"/>
  <c r="I141" i="9"/>
  <c r="F45" i="9"/>
  <c r="F57" i="9"/>
  <c r="F73" i="9"/>
  <c r="I63" i="9"/>
  <c r="Q105" i="9"/>
  <c r="F108" i="16"/>
  <c r="F169" i="9"/>
  <c r="G146" i="16"/>
  <c r="Q145" i="9"/>
  <c r="Y14" i="9"/>
  <c r="F120" i="16"/>
  <c r="F24" i="16"/>
  <c r="Y167" i="9"/>
  <c r="E44" i="16"/>
  <c r="F32" i="16"/>
  <c r="F12" i="16"/>
  <c r="F61" i="9"/>
  <c r="Q85" i="9"/>
  <c r="F157" i="9"/>
  <c r="F65" i="9"/>
  <c r="F145" i="9"/>
  <c r="F93" i="9"/>
  <c r="Q113" i="9"/>
  <c r="G170" i="16"/>
  <c r="I100" i="9"/>
  <c r="F104" i="16"/>
  <c r="E36" i="16"/>
  <c r="I117" i="9"/>
  <c r="L43" i="16"/>
  <c r="L41" i="16"/>
  <c r="L27" i="16"/>
  <c r="L16" i="16"/>
  <c r="L19" i="16"/>
  <c r="L22" i="16"/>
  <c r="I75" i="9"/>
  <c r="D55" i="16"/>
  <c r="I70" i="9"/>
  <c r="I116" i="9"/>
  <c r="I28" i="9"/>
  <c r="Y119" i="9"/>
  <c r="Y51" i="9"/>
  <c r="I61" i="9"/>
  <c r="F181" i="9"/>
  <c r="E96" i="16"/>
  <c r="I112" i="9"/>
  <c r="I55" i="9"/>
  <c r="I94" i="9"/>
  <c r="G38" i="16"/>
  <c r="Q57" i="9"/>
  <c r="F177" i="9"/>
  <c r="I48" i="9"/>
  <c r="E176" i="16"/>
  <c r="G166" i="16"/>
  <c r="G14" i="16"/>
  <c r="G30" i="16"/>
  <c r="Q33" i="9"/>
  <c r="D117" i="16"/>
  <c r="D149" i="16"/>
  <c r="F156" i="16"/>
  <c r="G142" i="16"/>
  <c r="Q177" i="9"/>
  <c r="G118" i="16"/>
  <c r="G90" i="16"/>
  <c r="I102" i="9"/>
  <c r="D127" i="16"/>
  <c r="I65" i="9"/>
  <c r="I136" i="9"/>
  <c r="I42" i="9"/>
  <c r="D144" i="16"/>
  <c r="I80" i="9"/>
  <c r="I18" i="9"/>
  <c r="D32" i="16"/>
  <c r="I86" i="9"/>
  <c r="Y83" i="9"/>
  <c r="Q25" i="9"/>
  <c r="Q73" i="9"/>
  <c r="I172" i="9"/>
  <c r="D67" i="16"/>
  <c r="E144" i="16"/>
  <c r="Y63" i="9"/>
  <c r="E88" i="16"/>
  <c r="Y91" i="9"/>
  <c r="G134" i="16"/>
  <c r="D8" i="16"/>
  <c r="Y159" i="9"/>
  <c r="E148" i="16"/>
  <c r="Q141" i="9"/>
  <c r="Y135" i="9"/>
  <c r="Q97" i="9"/>
  <c r="Q21" i="9"/>
  <c r="E32" i="16"/>
  <c r="Y115" i="9"/>
  <c r="Q109" i="9"/>
  <c r="Q161" i="9"/>
  <c r="I168" i="9"/>
  <c r="E164" i="16"/>
  <c r="D174" i="16"/>
  <c r="Q165" i="9"/>
  <c r="G82" i="16"/>
  <c r="Q137" i="9"/>
  <c r="S7" i="12"/>
  <c r="T7" i="12" s="1"/>
  <c r="O113" i="16" s="1"/>
  <c r="L31" i="16"/>
  <c r="L21" i="16"/>
  <c r="L79" i="16"/>
  <c r="E2" i="20"/>
  <c r="C82" i="21"/>
  <c r="D82" i="21" s="1"/>
  <c r="C73" i="21"/>
  <c r="D73" i="21" s="1"/>
  <c r="C30" i="21"/>
  <c r="D30" i="21" s="1"/>
  <c r="C72" i="21"/>
  <c r="D72" i="21" s="1"/>
  <c r="B89" i="9"/>
  <c r="C13" i="21"/>
  <c r="D13" i="21" s="1"/>
  <c r="C92" i="21"/>
  <c r="D92" i="21" s="1"/>
  <c r="B116" i="9"/>
  <c r="C136" i="21"/>
  <c r="D136" i="21" s="1"/>
  <c r="C152" i="21"/>
  <c r="D152" i="21" s="1"/>
  <c r="B102" i="9"/>
  <c r="C122" i="21"/>
  <c r="D122" i="21" s="1"/>
  <c r="C134" i="21"/>
  <c r="D134" i="21" s="1"/>
  <c r="B150" i="9"/>
  <c r="C27" i="21"/>
  <c r="D27" i="21" s="1"/>
  <c r="B127" i="9"/>
  <c r="C110" i="21"/>
  <c r="D110" i="21" s="1"/>
  <c r="B48" i="9"/>
  <c r="B46" i="9"/>
  <c r="C36" i="21"/>
  <c r="D36" i="21" s="1"/>
  <c r="L59" i="16"/>
  <c r="Q4" i="12"/>
  <c r="Q28" i="12"/>
  <c r="C28" i="21"/>
  <c r="D28" i="21" s="1"/>
  <c r="Q27" i="12"/>
  <c r="L24" i="16"/>
  <c r="L25" i="16"/>
  <c r="L36" i="16"/>
  <c r="T9" i="12" l="1"/>
  <c r="I19" i="9"/>
  <c r="D20" i="16"/>
  <c r="R13" i="12"/>
  <c r="T13" i="12" s="1"/>
  <c r="O119" i="16" s="1"/>
  <c r="D12" i="16"/>
  <c r="L28" i="16"/>
  <c r="R17" i="12"/>
  <c r="T17" i="12" s="1"/>
  <c r="O123" i="16" s="1"/>
  <c r="L46" i="16"/>
  <c r="R5" i="12"/>
  <c r="T5" i="12" s="1"/>
  <c r="O111" i="16" s="1"/>
  <c r="S23" i="12"/>
  <c r="S8" i="12"/>
  <c r="T8" i="12" s="1"/>
  <c r="R15" i="12"/>
  <c r="T15" i="12" s="1"/>
  <c r="D30" i="16"/>
  <c r="R10" i="12"/>
  <c r="T10" i="12" s="1"/>
  <c r="R26" i="12"/>
  <c r="T26" i="12" s="1"/>
  <c r="O132" i="16" s="1"/>
  <c r="I20" i="9"/>
  <c r="I22" i="9"/>
  <c r="D19" i="16"/>
  <c r="I33" i="9"/>
  <c r="S19" i="12"/>
  <c r="T19" i="12" s="1"/>
  <c r="O125" i="16" s="1"/>
  <c r="S24" i="12"/>
  <c r="D16" i="16"/>
  <c r="I27" i="9"/>
  <c r="I29" i="9"/>
  <c r="I140" i="9"/>
  <c r="D21" i="16"/>
  <c r="D133" i="16"/>
  <c r="R29" i="12"/>
  <c r="T29" i="12" s="1"/>
  <c r="O135" i="16" s="1"/>
  <c r="H9" i="16"/>
  <c r="J8" i="16"/>
  <c r="K8" i="16" s="1"/>
  <c r="H179" i="16"/>
  <c r="J179" i="16" s="1"/>
  <c r="J178" i="16"/>
  <c r="M178" i="16" s="1"/>
  <c r="N178" i="16" s="1"/>
  <c r="D33" i="16"/>
  <c r="I38" i="9"/>
  <c r="I45" i="9"/>
  <c r="D40" i="16"/>
  <c r="R146" i="12"/>
  <c r="T146" i="12" s="1"/>
  <c r="O52" i="16" s="1"/>
  <c r="S146" i="12"/>
  <c r="S95" i="12"/>
  <c r="R95" i="12"/>
  <c r="T95" i="12" s="1"/>
  <c r="O201" i="16" s="1"/>
  <c r="S39" i="12"/>
  <c r="R39" i="12"/>
  <c r="T39" i="12" s="1"/>
  <c r="O145" i="16" s="1"/>
  <c r="R138" i="12"/>
  <c r="S138" i="12"/>
  <c r="T138" i="12" s="1"/>
  <c r="S87" i="12"/>
  <c r="R87" i="12"/>
  <c r="T87" i="12" s="1"/>
  <c r="O193" i="16" s="1"/>
  <c r="S43" i="12"/>
  <c r="R43" i="12"/>
  <c r="T43" i="12" s="1"/>
  <c r="O149" i="16" s="1"/>
  <c r="R163" i="12"/>
  <c r="T163" i="12" s="1"/>
  <c r="O69" i="16" s="1"/>
  <c r="S163" i="12"/>
  <c r="R148" i="12"/>
  <c r="T148" i="12" s="1"/>
  <c r="O54" i="16" s="1"/>
  <c r="S148" i="12"/>
  <c r="R133" i="12"/>
  <c r="S133" i="12"/>
  <c r="T133" i="12" s="1"/>
  <c r="R118" i="12"/>
  <c r="T118" i="12" s="1"/>
  <c r="S118" i="12"/>
  <c r="S102" i="12"/>
  <c r="R102" i="12"/>
  <c r="T102" i="12" s="1"/>
  <c r="O8" i="16" s="1"/>
  <c r="S86" i="12"/>
  <c r="R86" i="12"/>
  <c r="T86" i="12" s="1"/>
  <c r="O192" i="16" s="1"/>
  <c r="S70" i="12"/>
  <c r="R70" i="12"/>
  <c r="T70" i="12" s="1"/>
  <c r="O176" i="16" s="1"/>
  <c r="S54" i="12"/>
  <c r="R54" i="12"/>
  <c r="T54" i="12" s="1"/>
  <c r="O160" i="16" s="1"/>
  <c r="S38" i="12"/>
  <c r="R38" i="12"/>
  <c r="T38" i="12" s="1"/>
  <c r="O144" i="16" s="1"/>
  <c r="R189" i="12"/>
  <c r="T189" i="12" s="1"/>
  <c r="O95" i="16" s="1"/>
  <c r="S189" i="12"/>
  <c r="R127" i="12"/>
  <c r="S127" i="12"/>
  <c r="T127" i="12" s="1"/>
  <c r="S79" i="12"/>
  <c r="R79" i="12"/>
  <c r="T79" i="12" s="1"/>
  <c r="O185" i="16" s="1"/>
  <c r="R35" i="12"/>
  <c r="T35" i="12" s="1"/>
  <c r="O141" i="16" s="1"/>
  <c r="S35" i="12"/>
  <c r="R162" i="12"/>
  <c r="T162" i="12" s="1"/>
  <c r="O68" i="16" s="1"/>
  <c r="S162" i="12"/>
  <c r="R147" i="12"/>
  <c r="T147" i="12" s="1"/>
  <c r="O53" i="16" s="1"/>
  <c r="S147" i="12"/>
  <c r="R132" i="12"/>
  <c r="S132" i="12"/>
  <c r="T132" i="12" s="1"/>
  <c r="R117" i="12"/>
  <c r="T117" i="12" s="1"/>
  <c r="S117" i="12"/>
  <c r="S101" i="12"/>
  <c r="R101" i="12"/>
  <c r="T101" i="12" s="1"/>
  <c r="O207" i="16" s="1"/>
  <c r="S85" i="12"/>
  <c r="R85" i="12"/>
  <c r="T85" i="12" s="1"/>
  <c r="O191" i="16" s="1"/>
  <c r="S69" i="12"/>
  <c r="R69" i="12"/>
  <c r="T69" i="12" s="1"/>
  <c r="O175" i="16" s="1"/>
  <c r="S53" i="12"/>
  <c r="R53" i="12"/>
  <c r="T53" i="12" s="1"/>
  <c r="O159" i="16" s="1"/>
  <c r="R37" i="12"/>
  <c r="T37" i="12" s="1"/>
  <c r="O143" i="16" s="1"/>
  <c r="S37" i="12"/>
  <c r="R199" i="12"/>
  <c r="T199" i="12" s="1"/>
  <c r="O105" i="16" s="1"/>
  <c r="S199" i="12"/>
  <c r="R195" i="12"/>
  <c r="T195" i="12" s="1"/>
  <c r="O101" i="16" s="1"/>
  <c r="S195" i="12"/>
  <c r="R130" i="12"/>
  <c r="S130" i="12"/>
  <c r="T130" i="12" s="1"/>
  <c r="O36" i="16" s="1"/>
  <c r="R157" i="12"/>
  <c r="T157" i="12" s="1"/>
  <c r="O63" i="16" s="1"/>
  <c r="S157" i="12"/>
  <c r="R139" i="12"/>
  <c r="S139" i="12"/>
  <c r="T139" i="12" s="1"/>
  <c r="R120" i="12"/>
  <c r="S120" i="12"/>
  <c r="T120" i="12" s="1"/>
  <c r="S104" i="12"/>
  <c r="R104" i="12"/>
  <c r="T104" i="12" s="1"/>
  <c r="O10" i="16" s="1"/>
  <c r="S88" i="12"/>
  <c r="R88" i="12"/>
  <c r="T88" i="12" s="1"/>
  <c r="O194" i="16" s="1"/>
  <c r="S72" i="12"/>
  <c r="R72" i="12"/>
  <c r="T72" i="12" s="1"/>
  <c r="O178" i="16" s="1"/>
  <c r="S56" i="12"/>
  <c r="R56" i="12"/>
  <c r="T56" i="12" s="1"/>
  <c r="O162" i="16" s="1"/>
  <c r="R40" i="12"/>
  <c r="T40" i="12" s="1"/>
  <c r="O146" i="16" s="1"/>
  <c r="S40" i="12"/>
  <c r="R185" i="12"/>
  <c r="T185" i="12" s="1"/>
  <c r="O91" i="16" s="1"/>
  <c r="S185" i="12"/>
  <c r="R181" i="12"/>
  <c r="T181" i="12" s="1"/>
  <c r="O87" i="16" s="1"/>
  <c r="S181" i="12"/>
  <c r="R177" i="12"/>
  <c r="T177" i="12" s="1"/>
  <c r="O83" i="16" s="1"/>
  <c r="S177" i="12"/>
  <c r="R173" i="12"/>
  <c r="T173" i="12" s="1"/>
  <c r="O79" i="16" s="1"/>
  <c r="S173" i="12"/>
  <c r="R134" i="12"/>
  <c r="S134" i="12"/>
  <c r="T134" i="12" s="1"/>
  <c r="S83" i="12"/>
  <c r="R83" i="12"/>
  <c r="T83" i="12" s="1"/>
  <c r="O189" i="16" s="1"/>
  <c r="R192" i="12"/>
  <c r="T192" i="12" s="1"/>
  <c r="O98" i="16" s="1"/>
  <c r="S192" i="12"/>
  <c r="R123" i="12"/>
  <c r="S123" i="12"/>
  <c r="T123" i="12" s="1"/>
  <c r="S75" i="12"/>
  <c r="R75" i="12"/>
  <c r="T75" i="12" s="1"/>
  <c r="O181" i="16" s="1"/>
  <c r="R31" i="12"/>
  <c r="T31" i="12" s="1"/>
  <c r="O137" i="16" s="1"/>
  <c r="S31" i="12"/>
  <c r="R159" i="12"/>
  <c r="T159" i="12" s="1"/>
  <c r="O65" i="16" s="1"/>
  <c r="S159" i="12"/>
  <c r="R145" i="12"/>
  <c r="T145" i="12" s="1"/>
  <c r="O51" i="16" s="1"/>
  <c r="S145" i="12"/>
  <c r="R129" i="12"/>
  <c r="S129" i="12"/>
  <c r="T129" i="12" s="1"/>
  <c r="S114" i="12"/>
  <c r="R114" i="12"/>
  <c r="T114" i="12" s="1"/>
  <c r="S98" i="12"/>
  <c r="R98" i="12"/>
  <c r="T98" i="12" s="1"/>
  <c r="O204" i="16" s="1"/>
  <c r="S82" i="12"/>
  <c r="R82" i="12"/>
  <c r="T82" i="12" s="1"/>
  <c r="O188" i="16" s="1"/>
  <c r="S66" i="12"/>
  <c r="R66" i="12"/>
  <c r="T66" i="12" s="1"/>
  <c r="O172" i="16" s="1"/>
  <c r="S50" i="12"/>
  <c r="R50" i="12"/>
  <c r="T50" i="12" s="1"/>
  <c r="O156" i="16" s="1"/>
  <c r="S34" i="12"/>
  <c r="R34" i="12"/>
  <c r="T34" i="12" s="1"/>
  <c r="O140" i="16" s="1"/>
  <c r="R188" i="12"/>
  <c r="T188" i="12" s="1"/>
  <c r="O94" i="16" s="1"/>
  <c r="S188" i="12"/>
  <c r="S115" i="12"/>
  <c r="R115" i="12"/>
  <c r="T115" i="12" s="1"/>
  <c r="S67" i="12"/>
  <c r="R67" i="12"/>
  <c r="T67" i="12" s="1"/>
  <c r="O173" i="16" s="1"/>
  <c r="R193" i="12"/>
  <c r="T193" i="12" s="1"/>
  <c r="O99" i="16" s="1"/>
  <c r="S193" i="12"/>
  <c r="R158" i="12"/>
  <c r="T158" i="12" s="1"/>
  <c r="O64" i="16" s="1"/>
  <c r="S158" i="12"/>
  <c r="R144" i="12"/>
  <c r="S144" i="12"/>
  <c r="T144" i="12" s="1"/>
  <c r="O50" i="16" s="1"/>
  <c r="R128" i="12"/>
  <c r="S128" i="12"/>
  <c r="T128" i="12" s="1"/>
  <c r="S113" i="12"/>
  <c r="R113" i="12"/>
  <c r="T113" i="12" s="1"/>
  <c r="S97" i="12"/>
  <c r="R97" i="12"/>
  <c r="T97" i="12" s="1"/>
  <c r="O203" i="16" s="1"/>
  <c r="S81" i="12"/>
  <c r="R81" i="12"/>
  <c r="T81" i="12" s="1"/>
  <c r="O187" i="16" s="1"/>
  <c r="S65" i="12"/>
  <c r="R65" i="12"/>
  <c r="T65" i="12" s="1"/>
  <c r="O171" i="16" s="1"/>
  <c r="S49" i="12"/>
  <c r="R49" i="12"/>
  <c r="T49" i="12" s="1"/>
  <c r="O155" i="16" s="1"/>
  <c r="R33" i="12"/>
  <c r="T33" i="12" s="1"/>
  <c r="O139" i="16" s="1"/>
  <c r="S33" i="12"/>
  <c r="R198" i="12"/>
  <c r="T198" i="12" s="1"/>
  <c r="O104" i="16" s="1"/>
  <c r="S198" i="12"/>
  <c r="R187" i="12"/>
  <c r="T187" i="12" s="1"/>
  <c r="O93" i="16" s="1"/>
  <c r="S187" i="12"/>
  <c r="S169" i="12"/>
  <c r="R169" i="12"/>
  <c r="T169" i="12" s="1"/>
  <c r="O75" i="16" s="1"/>
  <c r="R153" i="12"/>
  <c r="T153" i="12" s="1"/>
  <c r="O59" i="16" s="1"/>
  <c r="S153" i="12"/>
  <c r="R135" i="12"/>
  <c r="S135" i="12"/>
  <c r="T135" i="12" s="1"/>
  <c r="R116" i="12"/>
  <c r="T116" i="12" s="1"/>
  <c r="S116" i="12"/>
  <c r="S100" i="12"/>
  <c r="R100" i="12"/>
  <c r="T100" i="12" s="1"/>
  <c r="O206" i="16" s="1"/>
  <c r="S84" i="12"/>
  <c r="R84" i="12"/>
  <c r="T84" i="12" s="1"/>
  <c r="O190" i="16" s="1"/>
  <c r="S68" i="12"/>
  <c r="R68" i="12"/>
  <c r="T68" i="12" s="1"/>
  <c r="O174" i="16" s="1"/>
  <c r="S52" i="12"/>
  <c r="R52" i="12"/>
  <c r="T52" i="12" s="1"/>
  <c r="O158" i="16" s="1"/>
  <c r="R36" i="12"/>
  <c r="T36" i="12" s="1"/>
  <c r="O142" i="16" s="1"/>
  <c r="S36" i="12"/>
  <c r="R184" i="12"/>
  <c r="T184" i="12" s="1"/>
  <c r="O90" i="16" s="1"/>
  <c r="S184" i="12"/>
  <c r="R180" i="12"/>
  <c r="S180" i="12"/>
  <c r="R176" i="12"/>
  <c r="T176" i="12" s="1"/>
  <c r="O82" i="16" s="1"/>
  <c r="S176" i="12"/>
  <c r="R172" i="12"/>
  <c r="T172" i="12" s="1"/>
  <c r="O78" i="16" s="1"/>
  <c r="S172" i="12"/>
  <c r="R119" i="12"/>
  <c r="T119" i="12" s="1"/>
  <c r="S119" i="12"/>
  <c r="S71" i="12"/>
  <c r="R71" i="12"/>
  <c r="T71" i="12" s="1"/>
  <c r="O177" i="16" s="1"/>
  <c r="S164" i="12"/>
  <c r="R164" i="12"/>
  <c r="T164" i="12" s="1"/>
  <c r="O70" i="16" s="1"/>
  <c r="S111" i="12"/>
  <c r="R111" i="12"/>
  <c r="T111" i="12" s="1"/>
  <c r="S63" i="12"/>
  <c r="R63" i="12"/>
  <c r="T63" i="12" s="1"/>
  <c r="O169" i="16" s="1"/>
  <c r="S171" i="12"/>
  <c r="R171" i="12"/>
  <c r="T171" i="12" s="1"/>
  <c r="O77" i="16" s="1"/>
  <c r="R155" i="12"/>
  <c r="T155" i="12" s="1"/>
  <c r="O61" i="16" s="1"/>
  <c r="S155" i="12"/>
  <c r="R141" i="12"/>
  <c r="S141" i="12"/>
  <c r="T141" i="12" s="1"/>
  <c r="R126" i="12"/>
  <c r="S126" i="12"/>
  <c r="T126" i="12" s="1"/>
  <c r="S110" i="12"/>
  <c r="R110" i="12"/>
  <c r="T110" i="12" s="1"/>
  <c r="O16" i="16" s="1"/>
  <c r="S94" i="12"/>
  <c r="R94" i="12"/>
  <c r="T94" i="12" s="1"/>
  <c r="O200" i="16" s="1"/>
  <c r="S78" i="12"/>
  <c r="R78" i="12"/>
  <c r="T78" i="12" s="1"/>
  <c r="O184" i="16" s="1"/>
  <c r="S62" i="12"/>
  <c r="R62" i="12"/>
  <c r="T62" i="12" s="1"/>
  <c r="O168" i="16" s="1"/>
  <c r="S46" i="12"/>
  <c r="R46" i="12"/>
  <c r="T46" i="12" s="1"/>
  <c r="O152" i="16" s="1"/>
  <c r="R191" i="12"/>
  <c r="S191" i="12"/>
  <c r="T191" i="12" s="1"/>
  <c r="O97" i="16" s="1"/>
  <c r="R168" i="12"/>
  <c r="T168" i="12" s="1"/>
  <c r="O74" i="16" s="1"/>
  <c r="S168" i="12"/>
  <c r="S103" i="12"/>
  <c r="R103" i="12"/>
  <c r="T103" i="12" s="1"/>
  <c r="S59" i="12"/>
  <c r="R59" i="12"/>
  <c r="T59" i="12" s="1"/>
  <c r="O165" i="16" s="1"/>
  <c r="R170" i="12"/>
  <c r="T170" i="12" s="1"/>
  <c r="O76" i="16" s="1"/>
  <c r="S170" i="12"/>
  <c r="R154" i="12"/>
  <c r="T154" i="12" s="1"/>
  <c r="O60" i="16" s="1"/>
  <c r="S154" i="12"/>
  <c r="R140" i="12"/>
  <c r="S140" i="12"/>
  <c r="T140" i="12" s="1"/>
  <c r="R125" i="12"/>
  <c r="S125" i="12"/>
  <c r="T125" i="12" s="1"/>
  <c r="O31" i="16" s="1"/>
  <c r="S109" i="12"/>
  <c r="R109" i="12"/>
  <c r="T109" i="12" s="1"/>
  <c r="S93" i="12"/>
  <c r="R93" i="12"/>
  <c r="T93" i="12" s="1"/>
  <c r="O199" i="16" s="1"/>
  <c r="S77" i="12"/>
  <c r="R77" i="12"/>
  <c r="T77" i="12" s="1"/>
  <c r="O183" i="16" s="1"/>
  <c r="S61" i="12"/>
  <c r="R61" i="12"/>
  <c r="T61" i="12" s="1"/>
  <c r="O167" i="16" s="1"/>
  <c r="S45" i="12"/>
  <c r="R45" i="12"/>
  <c r="T45" i="12" s="1"/>
  <c r="O151" i="16" s="1"/>
  <c r="R201" i="12"/>
  <c r="T201" i="12" s="1"/>
  <c r="O107" i="16" s="1"/>
  <c r="S201" i="12"/>
  <c r="R197" i="12"/>
  <c r="T197" i="12" s="1"/>
  <c r="O103" i="16" s="1"/>
  <c r="S197" i="12"/>
  <c r="R186" i="12"/>
  <c r="S186" i="12"/>
  <c r="T186" i="12" s="1"/>
  <c r="O92" i="16" s="1"/>
  <c r="S165" i="12"/>
  <c r="R165" i="12"/>
  <c r="T165" i="12" s="1"/>
  <c r="O71" i="16" s="1"/>
  <c r="R150" i="12"/>
  <c r="T150" i="12" s="1"/>
  <c r="O56" i="16" s="1"/>
  <c r="S150" i="12"/>
  <c r="R131" i="12"/>
  <c r="S131" i="12"/>
  <c r="T131" i="12" s="1"/>
  <c r="S112" i="12"/>
  <c r="R112" i="12"/>
  <c r="T112" i="12" s="1"/>
  <c r="S96" i="12"/>
  <c r="R96" i="12"/>
  <c r="T96" i="12" s="1"/>
  <c r="O202" i="16" s="1"/>
  <c r="S80" i="12"/>
  <c r="R80" i="12"/>
  <c r="T80" i="12" s="1"/>
  <c r="O186" i="16" s="1"/>
  <c r="S64" i="12"/>
  <c r="R64" i="12"/>
  <c r="T64" i="12" s="1"/>
  <c r="O170" i="16" s="1"/>
  <c r="S48" i="12"/>
  <c r="R48" i="12"/>
  <c r="T48" i="12" s="1"/>
  <c r="O154" i="16" s="1"/>
  <c r="R32" i="12"/>
  <c r="T32" i="12" s="1"/>
  <c r="O138" i="16" s="1"/>
  <c r="S32" i="12"/>
  <c r="R183" i="12"/>
  <c r="T183" i="12" s="1"/>
  <c r="O89" i="16" s="1"/>
  <c r="S183" i="12"/>
  <c r="R179" i="12"/>
  <c r="T179" i="12" s="1"/>
  <c r="O85" i="16" s="1"/>
  <c r="S179" i="12"/>
  <c r="R175" i="12"/>
  <c r="T175" i="12" s="1"/>
  <c r="O81" i="16" s="1"/>
  <c r="S175" i="12"/>
  <c r="O29" i="16"/>
  <c r="R156" i="12"/>
  <c r="T156" i="12" s="1"/>
  <c r="O62" i="16" s="1"/>
  <c r="S156" i="12"/>
  <c r="S107" i="12"/>
  <c r="R107" i="12"/>
  <c r="T107" i="12" s="1"/>
  <c r="O13" i="16" s="1"/>
  <c r="S55" i="12"/>
  <c r="R55" i="12"/>
  <c r="T55" i="12" s="1"/>
  <c r="O161" i="16" s="1"/>
  <c r="R149" i="12"/>
  <c r="T149" i="12" s="1"/>
  <c r="O55" i="16" s="1"/>
  <c r="S149" i="12"/>
  <c r="S99" i="12"/>
  <c r="R99" i="12"/>
  <c r="T99" i="12" s="1"/>
  <c r="O205" i="16" s="1"/>
  <c r="S51" i="12"/>
  <c r="R51" i="12"/>
  <c r="T51" i="12" s="1"/>
  <c r="O157" i="16" s="1"/>
  <c r="R167" i="12"/>
  <c r="T167" i="12" s="1"/>
  <c r="O73" i="16" s="1"/>
  <c r="S167" i="12"/>
  <c r="R152" i="12"/>
  <c r="T152" i="12" s="1"/>
  <c r="O58" i="16" s="1"/>
  <c r="S152" i="12"/>
  <c r="R137" i="12"/>
  <c r="S137" i="12"/>
  <c r="T137" i="12" s="1"/>
  <c r="R122" i="12"/>
  <c r="S122" i="12"/>
  <c r="T122" i="12" s="1"/>
  <c r="S106" i="12"/>
  <c r="R106" i="12"/>
  <c r="T106" i="12" s="1"/>
  <c r="S90" i="12"/>
  <c r="R90" i="12"/>
  <c r="T90" i="12" s="1"/>
  <c r="O196" i="16" s="1"/>
  <c r="S74" i="12"/>
  <c r="R74" i="12"/>
  <c r="T74" i="12" s="1"/>
  <c r="O180" i="16" s="1"/>
  <c r="S58" i="12"/>
  <c r="R58" i="12"/>
  <c r="T58" i="12" s="1"/>
  <c r="O164" i="16" s="1"/>
  <c r="S42" i="12"/>
  <c r="R42" i="12"/>
  <c r="T42" i="12" s="1"/>
  <c r="O148" i="16" s="1"/>
  <c r="R190" i="12"/>
  <c r="T190" i="12" s="1"/>
  <c r="O96" i="16" s="1"/>
  <c r="S190" i="12"/>
  <c r="R142" i="12"/>
  <c r="S142" i="12"/>
  <c r="T142" i="12" s="1"/>
  <c r="O48" i="16" s="1"/>
  <c r="S91" i="12"/>
  <c r="R91" i="12"/>
  <c r="T91" i="12" s="1"/>
  <c r="O197" i="16" s="1"/>
  <c r="S47" i="12"/>
  <c r="R47" i="12"/>
  <c r="T47" i="12" s="1"/>
  <c r="O153" i="16" s="1"/>
  <c r="R166" i="12"/>
  <c r="T166" i="12" s="1"/>
  <c r="O72" i="16" s="1"/>
  <c r="S166" i="12"/>
  <c r="R151" i="12"/>
  <c r="T151" i="12" s="1"/>
  <c r="O57" i="16" s="1"/>
  <c r="S151" i="12"/>
  <c r="R136" i="12"/>
  <c r="S136" i="12"/>
  <c r="T136" i="12" s="1"/>
  <c r="R121" i="12"/>
  <c r="S121" i="12"/>
  <c r="T121" i="12" s="1"/>
  <c r="S105" i="12"/>
  <c r="R105" i="12"/>
  <c r="T105" i="12" s="1"/>
  <c r="S89" i="12"/>
  <c r="R89" i="12"/>
  <c r="T89" i="12" s="1"/>
  <c r="O195" i="16" s="1"/>
  <c r="S73" i="12"/>
  <c r="R73" i="12"/>
  <c r="T73" i="12" s="1"/>
  <c r="O179" i="16" s="1"/>
  <c r="S57" i="12"/>
  <c r="R57" i="12"/>
  <c r="T57" i="12" s="1"/>
  <c r="O163" i="16" s="1"/>
  <c r="S41" i="12"/>
  <c r="R41" i="12"/>
  <c r="T41" i="12" s="1"/>
  <c r="O147" i="16" s="1"/>
  <c r="R200" i="12"/>
  <c r="T200" i="12" s="1"/>
  <c r="O106" i="16" s="1"/>
  <c r="S200" i="12"/>
  <c r="R196" i="12"/>
  <c r="T196" i="12" s="1"/>
  <c r="O102" i="16" s="1"/>
  <c r="S196" i="12"/>
  <c r="S160" i="12"/>
  <c r="R160" i="12"/>
  <c r="T160" i="12" s="1"/>
  <c r="O66" i="16" s="1"/>
  <c r="R161" i="12"/>
  <c r="T161" i="12" s="1"/>
  <c r="O67" i="16" s="1"/>
  <c r="S161" i="12"/>
  <c r="R143" i="12"/>
  <c r="S143" i="12"/>
  <c r="T143" i="12" s="1"/>
  <c r="O49" i="16" s="1"/>
  <c r="R124" i="12"/>
  <c r="S124" i="12"/>
  <c r="T124" i="12" s="1"/>
  <c r="O30" i="16" s="1"/>
  <c r="S108" i="12"/>
  <c r="R108" i="12"/>
  <c r="T108" i="12" s="1"/>
  <c r="S92" i="12"/>
  <c r="R92" i="12"/>
  <c r="T92" i="12" s="1"/>
  <c r="O198" i="16" s="1"/>
  <c r="S76" i="12"/>
  <c r="R76" i="12"/>
  <c r="T76" i="12" s="1"/>
  <c r="O182" i="16" s="1"/>
  <c r="S60" i="12"/>
  <c r="R60" i="12"/>
  <c r="T60" i="12" s="1"/>
  <c r="O166" i="16" s="1"/>
  <c r="S44" i="12"/>
  <c r="R44" i="12"/>
  <c r="T44" i="12" s="1"/>
  <c r="O150" i="16" s="1"/>
  <c r="R194" i="12"/>
  <c r="T194" i="12" s="1"/>
  <c r="O100" i="16" s="1"/>
  <c r="S194" i="12"/>
  <c r="R182" i="12"/>
  <c r="T182" i="12" s="1"/>
  <c r="O88" i="16" s="1"/>
  <c r="S182" i="12"/>
  <c r="R178" i="12"/>
  <c r="T178" i="12" s="1"/>
  <c r="O84" i="16" s="1"/>
  <c r="S178" i="12"/>
  <c r="R174" i="12"/>
  <c r="T174" i="12" s="1"/>
  <c r="O80" i="16" s="1"/>
  <c r="S174" i="12"/>
  <c r="D27" i="16"/>
  <c r="D26" i="16"/>
  <c r="I39" i="9"/>
  <c r="D124" i="16"/>
  <c r="H180" i="16"/>
  <c r="R3" i="12"/>
  <c r="T3" i="12" s="1"/>
  <c r="O109" i="16" s="1"/>
  <c r="S21" i="12"/>
  <c r="T21" i="12" s="1"/>
  <c r="R22" i="12"/>
  <c r="T22" i="12" s="1"/>
  <c r="R30" i="12"/>
  <c r="T30" i="12" s="1"/>
  <c r="O136" i="16" s="1"/>
  <c r="O46" i="16"/>
  <c r="O121" i="16"/>
  <c r="S20" i="12"/>
  <c r="T20" i="12" s="1"/>
  <c r="O126" i="16"/>
  <c r="O116" i="16"/>
  <c r="A26" i="9"/>
  <c r="A106" i="9"/>
  <c r="A200" i="9"/>
  <c r="A158" i="9"/>
  <c r="A81" i="9"/>
  <c r="A207" i="9"/>
  <c r="A151" i="9"/>
  <c r="A8" i="21"/>
  <c r="A193" i="9"/>
  <c r="A16" i="9"/>
  <c r="A206" i="9"/>
  <c r="A137" i="9"/>
  <c r="A163" i="9"/>
  <c r="A161" i="9"/>
  <c r="A168" i="9"/>
  <c r="A49" i="9"/>
  <c r="A119" i="9"/>
  <c r="A191" i="9"/>
  <c r="A190" i="9"/>
  <c r="A116" i="9"/>
  <c r="A122" i="9"/>
  <c r="A120" i="9"/>
  <c r="A129" i="9"/>
  <c r="A76" i="9"/>
  <c r="A87" i="9"/>
  <c r="A149" i="9"/>
  <c r="A174" i="9"/>
  <c r="A88" i="9"/>
  <c r="A13" i="9"/>
  <c r="A211" i="9"/>
  <c r="A74" i="9"/>
  <c r="A44" i="9"/>
  <c r="A23" i="9"/>
  <c r="A6" i="21"/>
  <c r="A204" i="21"/>
  <c r="A25" i="21"/>
  <c r="A41" i="21"/>
  <c r="A57" i="21"/>
  <c r="A73" i="21"/>
  <c r="A89" i="21"/>
  <c r="A105" i="21"/>
  <c r="A121" i="21"/>
  <c r="A137" i="21"/>
  <c r="A153" i="21"/>
  <c r="A169" i="21"/>
  <c r="A185" i="21"/>
  <c r="A201" i="21"/>
  <c r="A22" i="21"/>
  <c r="A38" i="21"/>
  <c r="A54" i="21"/>
  <c r="A70" i="21"/>
  <c r="A86" i="21"/>
  <c r="A102" i="21"/>
  <c r="A118" i="21"/>
  <c r="A134" i="21"/>
  <c r="A150" i="21"/>
  <c r="A166" i="21"/>
  <c r="A182" i="21"/>
  <c r="A198" i="21"/>
  <c r="A15" i="21"/>
  <c r="A31" i="21"/>
  <c r="A47" i="21"/>
  <c r="A63" i="21"/>
  <c r="A79" i="21"/>
  <c r="A95" i="21"/>
  <c r="A111" i="21"/>
  <c r="A127" i="21"/>
  <c r="A143" i="21"/>
  <c r="A159" i="21"/>
  <c r="A175" i="21"/>
  <c r="A191" i="21"/>
  <c r="A12" i="21"/>
  <c r="A28" i="21"/>
  <c r="A44" i="21"/>
  <c r="A60" i="21"/>
  <c r="A76" i="21"/>
  <c r="A92" i="21"/>
  <c r="A108" i="21"/>
  <c r="A124" i="21"/>
  <c r="A140" i="21"/>
  <c r="A156" i="21"/>
  <c r="A172" i="21"/>
  <c r="A188" i="21"/>
  <c r="A5" i="21"/>
  <c r="A13" i="21"/>
  <c r="A29" i="21"/>
  <c r="A45" i="21"/>
  <c r="A61" i="21"/>
  <c r="A77" i="21"/>
  <c r="A93" i="21"/>
  <c r="A109" i="21"/>
  <c r="A125" i="21"/>
  <c r="A141" i="21"/>
  <c r="A157" i="21"/>
  <c r="A173" i="21"/>
  <c r="A189" i="21"/>
  <c r="A10" i="21"/>
  <c r="A26" i="21"/>
  <c r="A42" i="21"/>
  <c r="A58" i="21"/>
  <c r="A74" i="21"/>
  <c r="A90" i="21"/>
  <c r="A106" i="21"/>
  <c r="A122" i="21"/>
  <c r="A138" i="21"/>
  <c r="A154" i="21"/>
  <c r="A170" i="21"/>
  <c r="A186" i="21"/>
  <c r="A202" i="21"/>
  <c r="A19" i="21"/>
  <c r="A35" i="21"/>
  <c r="A51" i="21"/>
  <c r="A67" i="21"/>
  <c r="A83" i="21"/>
  <c r="A99" i="21"/>
  <c r="A115" i="21"/>
  <c r="A131" i="21"/>
  <c r="A147" i="21"/>
  <c r="A163" i="21"/>
  <c r="A179" i="21"/>
  <c r="A195" i="21"/>
  <c r="A16" i="21"/>
  <c r="A32" i="21"/>
  <c r="A48" i="21"/>
  <c r="A64" i="21"/>
  <c r="A80" i="21"/>
  <c r="A96" i="21"/>
  <c r="A112" i="21"/>
  <c r="A128" i="21"/>
  <c r="A144" i="21"/>
  <c r="A160" i="21"/>
  <c r="A176" i="21"/>
  <c r="A192" i="21"/>
  <c r="A17" i="21"/>
  <c r="A33" i="21"/>
  <c r="A49" i="21"/>
  <c r="A65" i="21"/>
  <c r="A81" i="21"/>
  <c r="A97" i="21"/>
  <c r="A113" i="21"/>
  <c r="A129" i="21"/>
  <c r="A145" i="21"/>
  <c r="A161" i="21"/>
  <c r="A177" i="21"/>
  <c r="A193" i="21"/>
  <c r="A14" i="21"/>
  <c r="A30" i="21"/>
  <c r="A46" i="21"/>
  <c r="A62" i="21"/>
  <c r="A78" i="21"/>
  <c r="A94" i="21"/>
  <c r="A110" i="21"/>
  <c r="A126" i="21"/>
  <c r="A142" i="21"/>
  <c r="A158" i="21"/>
  <c r="A174" i="21"/>
  <c r="A190" i="21"/>
  <c r="A7" i="21"/>
  <c r="A23" i="21"/>
  <c r="A39" i="21"/>
  <c r="A55" i="21"/>
  <c r="A71" i="21"/>
  <c r="A87" i="21"/>
  <c r="A103" i="21"/>
  <c r="A119" i="21"/>
  <c r="A135" i="21"/>
  <c r="A151" i="21"/>
  <c r="A167" i="21"/>
  <c r="A183" i="21"/>
  <c r="A199" i="21"/>
  <c r="A20" i="21"/>
  <c r="A36" i="21"/>
  <c r="A52" i="21"/>
  <c r="A68" i="21"/>
  <c r="A84" i="21"/>
  <c r="A100" i="21"/>
  <c r="A116" i="21"/>
  <c r="A132" i="21"/>
  <c r="A148" i="21"/>
  <c r="A164" i="21"/>
  <c r="A180" i="21"/>
  <c r="A196" i="21"/>
  <c r="A184" i="21"/>
  <c r="A56" i="21"/>
  <c r="A123" i="21"/>
  <c r="A194" i="21"/>
  <c r="A197" i="21"/>
  <c r="A69" i="21"/>
  <c r="A179" i="9"/>
  <c r="A138" i="9"/>
  <c r="A90" i="9"/>
  <c r="A202" i="9"/>
  <c r="A186" i="9"/>
  <c r="A170" i="9"/>
  <c r="A153" i="9"/>
  <c r="A132" i="9"/>
  <c r="A110" i="9"/>
  <c r="A80" i="9"/>
  <c r="A195" i="9"/>
  <c r="A154" i="9"/>
  <c r="A112" i="9"/>
  <c r="A209" i="9"/>
  <c r="A181" i="9"/>
  <c r="A146" i="9"/>
  <c r="A102" i="9"/>
  <c r="A167" i="9"/>
  <c r="A188" i="9"/>
  <c r="A156" i="9"/>
  <c r="A113" i="9"/>
  <c r="A101" i="9"/>
  <c r="A69" i="9"/>
  <c r="A37" i="9"/>
  <c r="A64" i="9"/>
  <c r="A32" i="9"/>
  <c r="A139" i="9"/>
  <c r="A107" i="9"/>
  <c r="A71" i="9"/>
  <c r="A42" i="9"/>
  <c r="A168" i="21"/>
  <c r="A104" i="21"/>
  <c r="A40" i="21"/>
  <c r="A171" i="21"/>
  <c r="A107" i="21"/>
  <c r="A43" i="21"/>
  <c r="A178" i="21"/>
  <c r="A114" i="21"/>
  <c r="A50" i="21"/>
  <c r="A181" i="21"/>
  <c r="A117" i="21"/>
  <c r="A53" i="21"/>
  <c r="A120" i="21"/>
  <c r="A187" i="21"/>
  <c r="A59" i="21"/>
  <c r="A130" i="21"/>
  <c r="A66" i="21"/>
  <c r="A133" i="21"/>
  <c r="A171" i="9"/>
  <c r="A128" i="9"/>
  <c r="A82" i="9"/>
  <c r="A198" i="9"/>
  <c r="A182" i="9"/>
  <c r="A166" i="9"/>
  <c r="A148" i="9"/>
  <c r="A126" i="9"/>
  <c r="A104" i="9"/>
  <c r="A66" i="9"/>
  <c r="A187" i="9"/>
  <c r="A144" i="9"/>
  <c r="A98" i="9"/>
  <c r="A205" i="9"/>
  <c r="A177" i="9"/>
  <c r="A141" i="9"/>
  <c r="A94" i="9"/>
  <c r="A70" i="9"/>
  <c r="A184" i="9"/>
  <c r="A150" i="9"/>
  <c r="A108" i="9"/>
  <c r="A97" i="9"/>
  <c r="A65" i="9"/>
  <c r="A33" i="9"/>
  <c r="A60" i="9"/>
  <c r="A28" i="9"/>
  <c r="A135" i="9"/>
  <c r="A103" i="9"/>
  <c r="A55" i="9"/>
  <c r="A152" i="21"/>
  <c r="A88" i="21"/>
  <c r="A24" i="21"/>
  <c r="A155" i="21"/>
  <c r="A91" i="21"/>
  <c r="A27" i="21"/>
  <c r="A162" i="21"/>
  <c r="A98" i="21"/>
  <c r="A34" i="21"/>
  <c r="A165" i="21"/>
  <c r="A101" i="21"/>
  <c r="A37" i="21"/>
  <c r="A14" i="9"/>
  <c r="A30" i="9"/>
  <c r="A46" i="9"/>
  <c r="A27" i="9"/>
  <c r="A43" i="9"/>
  <c r="A59" i="9"/>
  <c r="A75" i="9"/>
  <c r="A18" i="9"/>
  <c r="A34" i="9"/>
  <c r="A15" i="9"/>
  <c r="A31" i="9"/>
  <c r="A47" i="9"/>
  <c r="A63" i="9"/>
  <c r="A79" i="9"/>
  <c r="A95" i="9"/>
  <c r="A111" i="9"/>
  <c r="A127" i="9"/>
  <c r="A143" i="9"/>
  <c r="A20" i="9"/>
  <c r="A36" i="9"/>
  <c r="A52" i="9"/>
  <c r="A68" i="9"/>
  <c r="A25" i="9"/>
  <c r="A41" i="9"/>
  <c r="A57" i="9"/>
  <c r="A73" i="9"/>
  <c r="A89" i="9"/>
  <c r="A105" i="9"/>
  <c r="A92" i="9"/>
  <c r="A118" i="9"/>
  <c r="A140" i="9"/>
  <c r="A160" i="9"/>
  <c r="A176" i="9"/>
  <c r="A192" i="9"/>
  <c r="A208" i="9"/>
  <c r="A183" i="9"/>
  <c r="A78" i="9"/>
  <c r="A109" i="9"/>
  <c r="A130" i="9"/>
  <c r="A152" i="9"/>
  <c r="A169" i="9"/>
  <c r="A185" i="9"/>
  <c r="A201" i="9"/>
  <c r="A22" i="9"/>
  <c r="A38" i="9"/>
  <c r="A19" i="9"/>
  <c r="A35" i="9"/>
  <c r="A51" i="9"/>
  <c r="A67" i="9"/>
  <c r="A83" i="9"/>
  <c r="A99" i="9"/>
  <c r="A115" i="9"/>
  <c r="A131" i="9"/>
  <c r="A147" i="9"/>
  <c r="A24" i="9"/>
  <c r="A40" i="9"/>
  <c r="A56" i="9"/>
  <c r="A72" i="9"/>
  <c r="A29" i="9"/>
  <c r="A45" i="9"/>
  <c r="A61" i="9"/>
  <c r="A77" i="9"/>
  <c r="A93" i="9"/>
  <c r="A58" i="9"/>
  <c r="A100" i="9"/>
  <c r="A124" i="9"/>
  <c r="A145" i="9"/>
  <c r="A164" i="9"/>
  <c r="A180" i="9"/>
  <c r="A196" i="9"/>
  <c r="A212" i="9"/>
  <c r="A199" i="9"/>
  <c r="A86" i="9"/>
  <c r="A114" i="9"/>
  <c r="A136" i="9"/>
  <c r="A157" i="9"/>
  <c r="A173" i="9"/>
  <c r="A189" i="9"/>
  <c r="A203" i="9"/>
  <c r="A159" i="9"/>
  <c r="A117" i="9"/>
  <c r="A210" i="9"/>
  <c r="A194" i="9"/>
  <c r="A178" i="9"/>
  <c r="A162" i="9"/>
  <c r="A142" i="9"/>
  <c r="A121" i="9"/>
  <c r="A96" i="9"/>
  <c r="A50" i="9"/>
  <c r="A175" i="9"/>
  <c r="A133" i="9"/>
  <c r="A54" i="9"/>
  <c r="A197" i="9"/>
  <c r="A165" i="9"/>
  <c r="A125" i="9"/>
  <c r="A62" i="9"/>
  <c r="A204" i="9"/>
  <c r="A172" i="9"/>
  <c r="A134" i="9"/>
  <c r="A84" i="9"/>
  <c r="A85" i="9"/>
  <c r="A53" i="9"/>
  <c r="A21" i="9"/>
  <c r="A48" i="9"/>
  <c r="A155" i="9"/>
  <c r="A123" i="9"/>
  <c r="A91" i="9"/>
  <c r="A39" i="9"/>
  <c r="A200" i="21"/>
  <c r="A136" i="21"/>
  <c r="A72" i="21"/>
  <c r="A203" i="21"/>
  <c r="A139" i="21"/>
  <c r="A75" i="21"/>
  <c r="A11" i="21"/>
  <c r="A146" i="21"/>
  <c r="A82" i="21"/>
  <c r="A18" i="21"/>
  <c r="A149" i="21"/>
  <c r="A85" i="21"/>
  <c r="A21" i="21"/>
  <c r="R25" i="12"/>
  <c r="T25" i="12" s="1"/>
  <c r="S12" i="12"/>
  <c r="R12" i="12"/>
  <c r="T12" i="12" s="1"/>
  <c r="O118" i="16" s="1"/>
  <c r="R14" i="12"/>
  <c r="T14" i="12" s="1"/>
  <c r="S14" i="12"/>
  <c r="S2" i="12"/>
  <c r="R2" i="12"/>
  <c r="S16" i="12"/>
  <c r="R16" i="12"/>
  <c r="R6" i="12"/>
  <c r="T6" i="12" s="1"/>
  <c r="S6" i="12"/>
  <c r="R18" i="12"/>
  <c r="T18" i="12" s="1"/>
  <c r="S18" i="12"/>
  <c r="R11" i="12"/>
  <c r="S11" i="12"/>
  <c r="O35" i="16"/>
  <c r="O21" i="16"/>
  <c r="O41" i="16"/>
  <c r="S27" i="12"/>
  <c r="R27" i="12"/>
  <c r="T27" i="12" s="1"/>
  <c r="O133" i="16" s="1"/>
  <c r="R28" i="12"/>
  <c r="T28" i="12" s="1"/>
  <c r="S28" i="12"/>
  <c r="R4" i="12"/>
  <c r="S4" i="12"/>
  <c r="T11" i="12" l="1"/>
  <c r="T4" i="12"/>
  <c r="O110" i="16" s="1"/>
  <c r="O17" i="16"/>
  <c r="P8" i="16"/>
  <c r="O33" i="16"/>
  <c r="O11" i="16"/>
  <c r="O9" i="16"/>
  <c r="O37" i="16"/>
  <c r="O26" i="16"/>
  <c r="O19" i="16"/>
  <c r="T2" i="12"/>
  <c r="O108" i="16" s="1"/>
  <c r="O39" i="16"/>
  <c r="O44" i="16"/>
  <c r="O32" i="16"/>
  <c r="Q8" i="16"/>
  <c r="O12" i="16"/>
  <c r="O43" i="16"/>
  <c r="K178" i="16"/>
  <c r="T180" i="12"/>
  <c r="O86" i="16" s="1"/>
  <c r="M8" i="16"/>
  <c r="N8" i="16" s="1"/>
  <c r="H10" i="16"/>
  <c r="J9" i="16"/>
  <c r="T16" i="12"/>
  <c r="O122" i="16" s="1"/>
  <c r="O127" i="16"/>
  <c r="O128" i="16"/>
  <c r="P178" i="16"/>
  <c r="Q178" i="16"/>
  <c r="J180" i="16"/>
  <c r="H181" i="16"/>
  <c r="M179" i="16"/>
  <c r="N179" i="16" s="1"/>
  <c r="K179" i="16"/>
  <c r="Q179" i="16"/>
  <c r="P179" i="16"/>
  <c r="O45" i="16"/>
  <c r="O134" i="16"/>
  <c r="O15" i="16"/>
  <c r="O117" i="16"/>
  <c r="O20" i="16"/>
  <c r="O124" i="16"/>
  <c r="O14" i="16"/>
  <c r="O23" i="16"/>
  <c r="O120" i="16"/>
  <c r="O28" i="16"/>
  <c r="O112" i="16"/>
  <c r="O38" i="16"/>
  <c r="O131" i="16"/>
  <c r="E63" i="21"/>
  <c r="E52" i="21"/>
  <c r="E123" i="21"/>
  <c r="E172" i="21"/>
  <c r="E41" i="21"/>
  <c r="E60" i="21"/>
  <c r="E162" i="21"/>
  <c r="E88" i="21"/>
  <c r="E190" i="21"/>
  <c r="E169" i="21"/>
  <c r="E154" i="21"/>
  <c r="E45" i="21"/>
  <c r="E191" i="21"/>
  <c r="E105" i="21"/>
  <c r="E124" i="21"/>
  <c r="E147" i="21"/>
  <c r="E70" i="21"/>
  <c r="E94" i="21"/>
  <c r="E203" i="21"/>
  <c r="E90" i="21"/>
  <c r="E46" i="21"/>
  <c r="E101" i="21"/>
  <c r="E74" i="21"/>
  <c r="E189" i="21"/>
  <c r="E109" i="21"/>
  <c r="E202" i="21"/>
  <c r="E81" i="21"/>
  <c r="E39" i="21"/>
  <c r="E80" i="21"/>
  <c r="E182" i="21"/>
  <c r="E111" i="21"/>
  <c r="E185" i="21"/>
  <c r="E110" i="21"/>
  <c r="E180" i="21"/>
  <c r="E114" i="21"/>
  <c r="E54" i="21"/>
  <c r="E152" i="21"/>
  <c r="E37" i="21"/>
  <c r="E179" i="21"/>
  <c r="E83" i="21"/>
  <c r="E139" i="21"/>
  <c r="E43" i="21"/>
  <c r="E71" i="21"/>
  <c r="E183" i="21"/>
  <c r="E151" i="21"/>
  <c r="E171" i="21"/>
  <c r="E186" i="21"/>
  <c r="E82" i="21"/>
  <c r="E104" i="21"/>
  <c r="E142" i="21"/>
  <c r="E165" i="21"/>
  <c r="E196" i="21"/>
  <c r="E137" i="21"/>
  <c r="E160" i="21"/>
  <c r="E97" i="21"/>
  <c r="E178" i="21"/>
  <c r="E66" i="21"/>
  <c r="E201" i="21"/>
  <c r="E96" i="21"/>
  <c r="E126" i="21"/>
  <c r="E149" i="21"/>
  <c r="E106" i="21"/>
  <c r="E107" i="21"/>
  <c r="E51" i="21"/>
  <c r="E55" i="21"/>
  <c r="E145" i="21"/>
  <c r="E195" i="21"/>
  <c r="E68" i="21"/>
  <c r="E121" i="21"/>
  <c r="E127" i="21"/>
  <c r="E144" i="21"/>
  <c r="E56" i="21"/>
  <c r="E120" i="21"/>
  <c r="E77" i="21"/>
  <c r="E141" i="21"/>
  <c r="E158" i="21"/>
  <c r="E143" i="21"/>
  <c r="E197" i="21"/>
  <c r="E148" i="21"/>
  <c r="E161" i="21"/>
  <c r="E132" i="21"/>
  <c r="E134" i="21"/>
  <c r="E157" i="21"/>
  <c r="E153" i="21"/>
  <c r="E92" i="21"/>
  <c r="E49" i="21"/>
  <c r="E113" i="21"/>
  <c r="E118" i="21"/>
  <c r="E194" i="21"/>
  <c r="E199" i="21"/>
  <c r="E98" i="21"/>
  <c r="E184" i="21"/>
  <c r="E100" i="21"/>
  <c r="E48" i="21"/>
  <c r="E112" i="21"/>
  <c r="E69" i="21"/>
  <c r="E133" i="21"/>
  <c r="E150" i="21"/>
  <c r="E119" i="21"/>
  <c r="E181" i="21"/>
  <c r="E138" i="21"/>
  <c r="E204" i="21"/>
  <c r="E67" i="21"/>
  <c r="E47" i="21"/>
  <c r="E75" i="21"/>
  <c r="E131" i="21"/>
  <c r="E38" i="21"/>
  <c r="E87" i="21"/>
  <c r="E159" i="21"/>
  <c r="E89" i="21"/>
  <c r="E40" i="21"/>
  <c r="E61" i="21"/>
  <c r="E125" i="21"/>
  <c r="E95" i="21"/>
  <c r="E122" i="21"/>
  <c r="E84" i="21"/>
  <c r="E163" i="21"/>
  <c r="E76" i="21"/>
  <c r="E140" i="21"/>
  <c r="E86" i="21"/>
  <c r="E175" i="21"/>
  <c r="E168" i="21"/>
  <c r="E192" i="21"/>
  <c r="E53" i="21"/>
  <c r="E117" i="21"/>
  <c r="E198" i="21"/>
  <c r="E188" i="21"/>
  <c r="E116" i="21"/>
  <c r="E102" i="21"/>
  <c r="E187" i="21"/>
  <c r="E176" i="21"/>
  <c r="E72" i="21"/>
  <c r="E136" i="21"/>
  <c r="E93" i="21"/>
  <c r="E78" i="21"/>
  <c r="E174" i="21"/>
  <c r="E167" i="21"/>
  <c r="E58" i="21"/>
  <c r="E164" i="21"/>
  <c r="E193" i="21"/>
  <c r="E57" i="21"/>
  <c r="E170" i="21"/>
  <c r="E50" i="21"/>
  <c r="E44" i="21"/>
  <c r="E108" i="21"/>
  <c r="E65" i="21"/>
  <c r="E129" i="21"/>
  <c r="E146" i="21"/>
  <c r="E103" i="21"/>
  <c r="E173" i="21"/>
  <c r="E130" i="21"/>
  <c r="E200" i="21"/>
  <c r="E73" i="21"/>
  <c r="E64" i="21"/>
  <c r="E128" i="21"/>
  <c r="E85" i="21"/>
  <c r="E62" i="21"/>
  <c r="E166" i="21"/>
  <c r="E155" i="21"/>
  <c r="E42" i="21"/>
  <c r="E156" i="21"/>
  <c r="E177" i="21"/>
  <c r="E115" i="21"/>
  <c r="E91" i="21"/>
  <c r="E59" i="21"/>
  <c r="E99" i="21"/>
  <c r="E135" i="21"/>
  <c r="E79" i="21"/>
  <c r="E35" i="21"/>
  <c r="J5" i="21"/>
  <c r="E7" i="21"/>
  <c r="E8" i="21"/>
  <c r="E23" i="21"/>
  <c r="E31" i="21"/>
  <c r="G204" i="21"/>
  <c r="G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H204" i="21"/>
  <c r="H6" i="21"/>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I204"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31" i="21"/>
  <c r="I32" i="21"/>
  <c r="I33" i="21"/>
  <c r="I34" i="21"/>
  <c r="I35" i="21"/>
  <c r="I36" i="21"/>
  <c r="I37" i="21"/>
  <c r="I38" i="21"/>
  <c r="I39" i="21"/>
  <c r="I40" i="21"/>
  <c r="I41" i="21"/>
  <c r="I42" i="21"/>
  <c r="I43" i="21"/>
  <c r="I44" i="21"/>
  <c r="I45" i="21"/>
  <c r="I46" i="21"/>
  <c r="I47" i="21"/>
  <c r="I48" i="21"/>
  <c r="I49" i="21"/>
  <c r="I50" i="21"/>
  <c r="I51" i="21"/>
  <c r="I52" i="21"/>
  <c r="I53" i="21"/>
  <c r="I54" i="21"/>
  <c r="I55" i="21"/>
  <c r="I56" i="21"/>
  <c r="I57" i="21"/>
  <c r="I58" i="21"/>
  <c r="I59" i="21"/>
  <c r="I60" i="21"/>
  <c r="I61" i="21"/>
  <c r="I62" i="21"/>
  <c r="I63" i="21"/>
  <c r="I64" i="21"/>
  <c r="I65" i="21"/>
  <c r="I66" i="21"/>
  <c r="I67" i="21"/>
  <c r="I68" i="21"/>
  <c r="I69" i="21"/>
  <c r="I70" i="21"/>
  <c r="I71" i="21"/>
  <c r="I72" i="21"/>
  <c r="I73" i="21"/>
  <c r="I74" i="21"/>
  <c r="I75" i="21"/>
  <c r="I76" i="21"/>
  <c r="I77" i="21"/>
  <c r="I78" i="21"/>
  <c r="I79" i="21"/>
  <c r="I80" i="21"/>
  <c r="I81" i="21"/>
  <c r="I82" i="21"/>
  <c r="I83" i="21"/>
  <c r="I84" i="21"/>
  <c r="I85" i="21"/>
  <c r="I86" i="21"/>
  <c r="I87" i="21"/>
  <c r="I88" i="21"/>
  <c r="J204" i="21"/>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3" i="21"/>
  <c r="J34" i="21"/>
  <c r="J35" i="21"/>
  <c r="J36" i="21"/>
  <c r="J37" i="21"/>
  <c r="J38" i="21"/>
  <c r="J39" i="21"/>
  <c r="J40" i="21"/>
  <c r="J41" i="21"/>
  <c r="J42" i="21"/>
  <c r="J43" i="21"/>
  <c r="J44" i="21"/>
  <c r="J45" i="21"/>
  <c r="J46" i="21"/>
  <c r="J47" i="21"/>
  <c r="J48" i="21"/>
  <c r="J49" i="21"/>
  <c r="J50" i="21"/>
  <c r="J51" i="21"/>
  <c r="J52" i="21"/>
  <c r="J53" i="21"/>
  <c r="J54" i="21"/>
  <c r="J55" i="21"/>
  <c r="J56" i="21"/>
  <c r="J57" i="21"/>
  <c r="J58" i="21"/>
  <c r="J59" i="21"/>
  <c r="J60" i="21"/>
  <c r="J61" i="21"/>
  <c r="J62" i="21"/>
  <c r="J63" i="21"/>
  <c r="J64" i="21"/>
  <c r="J65" i="21"/>
  <c r="J66" i="21"/>
  <c r="J67" i="21"/>
  <c r="J68" i="21"/>
  <c r="J69" i="21"/>
  <c r="J70" i="21"/>
  <c r="J71" i="21"/>
  <c r="J72" i="21"/>
  <c r="J73" i="21"/>
  <c r="J74" i="21"/>
  <c r="J75" i="21"/>
  <c r="J76" i="21"/>
  <c r="J77" i="21"/>
  <c r="J78" i="21"/>
  <c r="J79" i="21"/>
  <c r="J80" i="21"/>
  <c r="J81" i="21"/>
  <c r="J82" i="21"/>
  <c r="J83" i="21"/>
  <c r="J84" i="21"/>
  <c r="J85" i="21"/>
  <c r="J86" i="21"/>
  <c r="J87" i="21"/>
  <c r="J88" i="21"/>
  <c r="I89" i="21"/>
  <c r="I90" i="21"/>
  <c r="I91" i="21"/>
  <c r="I92" i="21"/>
  <c r="I93" i="21"/>
  <c r="I94" i="21"/>
  <c r="I95" i="21"/>
  <c r="I96" i="21"/>
  <c r="I97" i="21"/>
  <c r="I98" i="21"/>
  <c r="I99" i="21"/>
  <c r="I100" i="21"/>
  <c r="I101" i="21"/>
  <c r="I102" i="21"/>
  <c r="I103" i="21"/>
  <c r="I104" i="21"/>
  <c r="I105" i="21"/>
  <c r="I106" i="21"/>
  <c r="I107" i="21"/>
  <c r="I108" i="21"/>
  <c r="I109" i="21"/>
  <c r="I110" i="21"/>
  <c r="I111" i="21"/>
  <c r="I112" i="21"/>
  <c r="I113" i="21"/>
  <c r="I114" i="21"/>
  <c r="I115" i="21"/>
  <c r="I116" i="21"/>
  <c r="I117" i="21"/>
  <c r="I118" i="21"/>
  <c r="I119" i="21"/>
  <c r="I120" i="21"/>
  <c r="I121" i="21"/>
  <c r="I122" i="21"/>
  <c r="I123" i="21"/>
  <c r="I124" i="21"/>
  <c r="I125" i="21"/>
  <c r="I126" i="21"/>
  <c r="I127" i="21"/>
  <c r="I128" i="21"/>
  <c r="I129" i="21"/>
  <c r="I130" i="21"/>
  <c r="I131" i="21"/>
  <c r="I132" i="21"/>
  <c r="I133" i="21"/>
  <c r="I134" i="21"/>
  <c r="I135" i="21"/>
  <c r="I136" i="21"/>
  <c r="I137" i="21"/>
  <c r="I138" i="21"/>
  <c r="I139" i="21"/>
  <c r="I140" i="21"/>
  <c r="I141" i="21"/>
  <c r="I142" i="21"/>
  <c r="I143" i="21"/>
  <c r="I144" i="21"/>
  <c r="I145" i="21"/>
  <c r="I146" i="21"/>
  <c r="I147" i="21"/>
  <c r="I148" i="21"/>
  <c r="I149" i="21"/>
  <c r="I150" i="21"/>
  <c r="I151" i="21"/>
  <c r="I152" i="21"/>
  <c r="I153" i="21"/>
  <c r="I154" i="21"/>
  <c r="I155" i="21"/>
  <c r="I156" i="21"/>
  <c r="I157" i="21"/>
  <c r="I158" i="21"/>
  <c r="I159" i="21"/>
  <c r="I160" i="21"/>
  <c r="I161" i="21"/>
  <c r="I162" i="21"/>
  <c r="I163" i="21"/>
  <c r="I164" i="21"/>
  <c r="I165" i="21"/>
  <c r="I166" i="21"/>
  <c r="I167" i="21"/>
  <c r="I168" i="21"/>
  <c r="I169" i="21"/>
  <c r="I170" i="21"/>
  <c r="I171" i="21"/>
  <c r="I172" i="21"/>
  <c r="I173" i="21"/>
  <c r="J89" i="21"/>
  <c r="J90" i="21"/>
  <c r="J91" i="21"/>
  <c r="J92" i="21"/>
  <c r="J93" i="21"/>
  <c r="J94" i="21"/>
  <c r="J95" i="21"/>
  <c r="J96" i="21"/>
  <c r="J97" i="21"/>
  <c r="J98" i="21"/>
  <c r="J99" i="21"/>
  <c r="J100" i="21"/>
  <c r="J101" i="21"/>
  <c r="J102" i="21"/>
  <c r="J103" i="21"/>
  <c r="J104" i="21"/>
  <c r="J105" i="21"/>
  <c r="J106" i="21"/>
  <c r="J107" i="21"/>
  <c r="J108" i="21"/>
  <c r="J109" i="21"/>
  <c r="J110" i="21"/>
  <c r="J111" i="21"/>
  <c r="J112" i="21"/>
  <c r="J113" i="21"/>
  <c r="J114" i="21"/>
  <c r="J115" i="21"/>
  <c r="J116" i="21"/>
  <c r="J117" i="21"/>
  <c r="J118" i="21"/>
  <c r="J119" i="21"/>
  <c r="J120" i="21"/>
  <c r="J121" i="21"/>
  <c r="J122" i="21"/>
  <c r="J123" i="21"/>
  <c r="J124" i="21"/>
  <c r="J125" i="21"/>
  <c r="J126" i="21"/>
  <c r="J127" i="21"/>
  <c r="J128" i="21"/>
  <c r="J129" i="21"/>
  <c r="J130" i="21"/>
  <c r="J131" i="21"/>
  <c r="J132" i="21"/>
  <c r="J133" i="21"/>
  <c r="J134" i="21"/>
  <c r="J135" i="21"/>
  <c r="J136" i="21"/>
  <c r="J137" i="21"/>
  <c r="J138" i="21"/>
  <c r="J139" i="21"/>
  <c r="J140" i="21"/>
  <c r="J141" i="21"/>
  <c r="J142" i="21"/>
  <c r="J143" i="21"/>
  <c r="J144" i="21"/>
  <c r="J145" i="21"/>
  <c r="J146" i="21"/>
  <c r="J147" i="21"/>
  <c r="J148" i="21"/>
  <c r="J149" i="21"/>
  <c r="J150" i="21"/>
  <c r="J151" i="21"/>
  <c r="J152" i="21"/>
  <c r="J153" i="21"/>
  <c r="J154" i="21"/>
  <c r="J155" i="21"/>
  <c r="J156" i="21"/>
  <c r="J157" i="21"/>
  <c r="J158" i="21"/>
  <c r="J159" i="21"/>
  <c r="J160" i="21"/>
  <c r="J161" i="21"/>
  <c r="J162" i="21"/>
  <c r="J163" i="21"/>
  <c r="J164" i="21"/>
  <c r="J165" i="21"/>
  <c r="J166" i="21"/>
  <c r="J167" i="21"/>
  <c r="J168" i="21"/>
  <c r="J169" i="21"/>
  <c r="J170" i="21"/>
  <c r="J171"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H90" i="21"/>
  <c r="H94" i="21"/>
  <c r="H98" i="21"/>
  <c r="H102" i="21"/>
  <c r="H106" i="21"/>
  <c r="H110" i="21"/>
  <c r="H114" i="21"/>
  <c r="H118" i="21"/>
  <c r="H122" i="21"/>
  <c r="H126" i="21"/>
  <c r="H130" i="21"/>
  <c r="H134" i="21"/>
  <c r="H138" i="21"/>
  <c r="H142" i="21"/>
  <c r="H146" i="21"/>
  <c r="H150" i="21"/>
  <c r="H154" i="21"/>
  <c r="H158" i="21"/>
  <c r="H162" i="21"/>
  <c r="H166" i="21"/>
  <c r="H170" i="21"/>
  <c r="H173" i="21"/>
  <c r="J174" i="21"/>
  <c r="J175" i="21"/>
  <c r="J176" i="21"/>
  <c r="J177" i="21"/>
  <c r="J178" i="21"/>
  <c r="J179" i="21"/>
  <c r="J180" i="21"/>
  <c r="J181" i="21"/>
  <c r="J182" i="21"/>
  <c r="J183" i="21"/>
  <c r="J184" i="21"/>
  <c r="J185" i="21"/>
  <c r="J186" i="21"/>
  <c r="J187" i="21"/>
  <c r="J188" i="21"/>
  <c r="J189" i="21"/>
  <c r="J190" i="21"/>
  <c r="J191" i="21"/>
  <c r="J192" i="21"/>
  <c r="J193" i="21"/>
  <c r="J194" i="21"/>
  <c r="J195" i="21"/>
  <c r="J196" i="21"/>
  <c r="J197" i="21"/>
  <c r="J198" i="21"/>
  <c r="J199" i="21"/>
  <c r="J200" i="21"/>
  <c r="J201" i="21"/>
  <c r="J202" i="21"/>
  <c r="J203" i="21"/>
  <c r="H97" i="21"/>
  <c r="H105" i="21"/>
  <c r="H113" i="21"/>
  <c r="H125" i="21"/>
  <c r="H133" i="21"/>
  <c r="H141" i="21"/>
  <c r="H149" i="21"/>
  <c r="H157" i="21"/>
  <c r="H165" i="21"/>
  <c r="J172" i="21"/>
  <c r="I176" i="21"/>
  <c r="I178" i="21"/>
  <c r="I181" i="21"/>
  <c r="I184" i="21"/>
  <c r="I187" i="21"/>
  <c r="I190" i="21"/>
  <c r="I192" i="21"/>
  <c r="I195" i="21"/>
  <c r="I198" i="21"/>
  <c r="I201" i="21"/>
  <c r="H91" i="21"/>
  <c r="H95" i="21"/>
  <c r="H99" i="21"/>
  <c r="H103" i="21"/>
  <c r="H107" i="21"/>
  <c r="H111" i="21"/>
  <c r="H115" i="21"/>
  <c r="H119" i="21"/>
  <c r="H123" i="21"/>
  <c r="H127" i="21"/>
  <c r="H131" i="21"/>
  <c r="H135" i="21"/>
  <c r="H139" i="21"/>
  <c r="H143" i="21"/>
  <c r="H147" i="21"/>
  <c r="H151" i="21"/>
  <c r="H155" i="21"/>
  <c r="H159" i="21"/>
  <c r="H163" i="21"/>
  <c r="H167" i="21"/>
  <c r="H171" i="21"/>
  <c r="J173"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H101" i="21"/>
  <c r="I174" i="21"/>
  <c r="I179" i="21"/>
  <c r="I182" i="21"/>
  <c r="I185" i="21"/>
  <c r="I188" i="21"/>
  <c r="I191" i="21"/>
  <c r="I194" i="21"/>
  <c r="I197" i="21"/>
  <c r="I200" i="21"/>
  <c r="I203" i="21"/>
  <c r="H92" i="21"/>
  <c r="H96" i="21"/>
  <c r="H100" i="21"/>
  <c r="H104" i="21"/>
  <c r="H108" i="21"/>
  <c r="H112" i="21"/>
  <c r="H116" i="21"/>
  <c r="H120" i="21"/>
  <c r="H124" i="21"/>
  <c r="H128" i="21"/>
  <c r="H132" i="21"/>
  <c r="H136" i="21"/>
  <c r="H140" i="21"/>
  <c r="H144" i="21"/>
  <c r="H148" i="21"/>
  <c r="H152" i="21"/>
  <c r="H156" i="21"/>
  <c r="H160" i="21"/>
  <c r="H164" i="21"/>
  <c r="H168" i="21"/>
  <c r="H172"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93" i="21"/>
  <c r="H109" i="21"/>
  <c r="H117" i="21"/>
  <c r="H121" i="21"/>
  <c r="H129" i="21"/>
  <c r="H137" i="21"/>
  <c r="H145" i="21"/>
  <c r="H153" i="21"/>
  <c r="H161" i="21"/>
  <c r="H169" i="21"/>
  <c r="I175" i="21"/>
  <c r="I177" i="21"/>
  <c r="I180" i="21"/>
  <c r="I183" i="21"/>
  <c r="I186" i="21"/>
  <c r="I189" i="21"/>
  <c r="I193" i="21"/>
  <c r="I196" i="21"/>
  <c r="I199" i="21"/>
  <c r="I202" i="21"/>
  <c r="I5" i="21"/>
  <c r="H5" i="21"/>
  <c r="E33" i="21"/>
  <c r="E19" i="21"/>
  <c r="G5" i="21"/>
  <c r="E13" i="21"/>
  <c r="E24" i="21"/>
  <c r="E16" i="21"/>
  <c r="E11" i="21"/>
  <c r="E34" i="21"/>
  <c r="E15" i="21"/>
  <c r="E6" i="21"/>
  <c r="E12" i="21"/>
  <c r="E26" i="21"/>
  <c r="E27" i="21"/>
  <c r="E29" i="21"/>
  <c r="E14" i="21"/>
  <c r="E9" i="21"/>
  <c r="E20" i="21"/>
  <c r="E32" i="21"/>
  <c r="E5" i="21"/>
  <c r="E25" i="21"/>
  <c r="E18" i="21"/>
  <c r="E30" i="21"/>
  <c r="E17" i="21"/>
  <c r="E28" i="21"/>
  <c r="E10" i="21"/>
  <c r="E21" i="21"/>
  <c r="E22" i="21"/>
  <c r="E36" i="21"/>
  <c r="O47" i="16"/>
  <c r="O25" i="16"/>
  <c r="O40" i="16"/>
  <c r="O27" i="16"/>
  <c r="O42" i="16"/>
  <c r="O18" i="16"/>
  <c r="O24" i="16"/>
  <c r="Q9" i="16" l="1"/>
  <c r="P9" i="16"/>
  <c r="O22" i="16"/>
  <c r="O34" i="16"/>
  <c r="M9" i="16"/>
  <c r="N9" i="16" s="1"/>
  <c r="K9" i="16"/>
  <c r="H11" i="16"/>
  <c r="J10" i="16"/>
  <c r="H182" i="16"/>
  <c r="J181" i="16"/>
  <c r="M180" i="16"/>
  <c r="N180" i="16" s="1"/>
  <c r="K180" i="16"/>
  <c r="Q180" i="16"/>
  <c r="P180" i="16"/>
  <c r="M10" i="16" l="1"/>
  <c r="N10" i="16" s="1"/>
  <c r="K10" i="16"/>
  <c r="P10" i="16"/>
  <c r="Q10" i="16"/>
  <c r="M181" i="16"/>
  <c r="N181" i="16" s="1"/>
  <c r="K181" i="16"/>
  <c r="P181" i="16"/>
  <c r="Q181" i="16"/>
  <c r="H12" i="16"/>
  <c r="J11" i="16"/>
  <c r="H183" i="16"/>
  <c r="J182" i="16"/>
  <c r="K11" i="16" l="1"/>
  <c r="M11" i="16"/>
  <c r="N11" i="16" s="1"/>
  <c r="Q11" i="16"/>
  <c r="P11" i="16"/>
  <c r="H13" i="16"/>
  <c r="J12" i="16"/>
  <c r="M182" i="16"/>
  <c r="N182" i="16" s="1"/>
  <c r="K182" i="16"/>
  <c r="P182" i="16"/>
  <c r="Q182" i="16"/>
  <c r="H184" i="16"/>
  <c r="J183" i="16"/>
  <c r="M183" i="16" l="1"/>
  <c r="N183" i="16" s="1"/>
  <c r="K183" i="16"/>
  <c r="P183" i="16"/>
  <c r="Q183" i="16"/>
  <c r="H185" i="16"/>
  <c r="J184" i="16"/>
  <c r="P12" i="16"/>
  <c r="M12" i="16"/>
  <c r="N12" i="16" s="1"/>
  <c r="K12" i="16"/>
  <c r="Q12" i="16"/>
  <c r="H14" i="16"/>
  <c r="J13" i="16"/>
  <c r="H186" i="16" l="1"/>
  <c r="J185" i="16"/>
  <c r="Q184" i="16"/>
  <c r="K184" i="16"/>
  <c r="P184" i="16"/>
  <c r="M184" i="16"/>
  <c r="N184" i="16" s="1"/>
  <c r="K13" i="16"/>
  <c r="M13" i="16"/>
  <c r="N13" i="16" s="1"/>
  <c r="P13" i="16"/>
  <c r="Q13" i="16"/>
  <c r="H15" i="16"/>
  <c r="J14" i="16"/>
  <c r="M185" i="16" l="1"/>
  <c r="N185" i="16" s="1"/>
  <c r="K185" i="16"/>
  <c r="P185" i="16"/>
  <c r="Q185" i="16"/>
  <c r="H187" i="16"/>
  <c r="J186" i="16"/>
  <c r="K14" i="16"/>
  <c r="M14" i="16"/>
  <c r="N14" i="16" s="1"/>
  <c r="P14" i="16"/>
  <c r="Q14" i="16"/>
  <c r="H16" i="16"/>
  <c r="J15" i="16"/>
  <c r="K15" i="16" l="1"/>
  <c r="M15" i="16"/>
  <c r="N15" i="16" s="1"/>
  <c r="Q15" i="16"/>
  <c r="P15" i="16"/>
  <c r="H17" i="16"/>
  <c r="J16" i="16"/>
  <c r="M186" i="16"/>
  <c r="N186" i="16" s="1"/>
  <c r="K186" i="16"/>
  <c r="P186" i="16"/>
  <c r="Q186" i="16"/>
  <c r="H188" i="16"/>
  <c r="J187" i="16"/>
  <c r="M187" i="16" l="1"/>
  <c r="N187" i="16" s="1"/>
  <c r="K187" i="16"/>
  <c r="P187" i="16"/>
  <c r="Q187" i="16"/>
  <c r="H189" i="16"/>
  <c r="J188" i="16"/>
  <c r="K16" i="16"/>
  <c r="M16" i="16"/>
  <c r="N16" i="16" s="1"/>
  <c r="P16" i="16"/>
  <c r="Q16" i="16"/>
  <c r="H18" i="16"/>
  <c r="J17" i="16"/>
  <c r="K17" i="16" l="1"/>
  <c r="M17" i="16"/>
  <c r="N17" i="16" s="1"/>
  <c r="P17" i="16"/>
  <c r="Q17" i="16"/>
  <c r="H19" i="16"/>
  <c r="J18" i="16"/>
  <c r="M188" i="16"/>
  <c r="N188" i="16" s="1"/>
  <c r="K188" i="16"/>
  <c r="P188" i="16"/>
  <c r="Q188" i="16"/>
  <c r="J189" i="16"/>
  <c r="H190" i="16"/>
  <c r="H191" i="16" l="1"/>
  <c r="J190" i="16"/>
  <c r="M189" i="16"/>
  <c r="N189" i="16" s="1"/>
  <c r="Q189" i="16"/>
  <c r="P189" i="16"/>
  <c r="K189" i="16"/>
  <c r="K18" i="16"/>
  <c r="M18" i="16"/>
  <c r="N18" i="16" s="1"/>
  <c r="Q18" i="16"/>
  <c r="P18" i="16"/>
  <c r="H20" i="16"/>
  <c r="J19" i="16"/>
  <c r="K190" i="16" l="1"/>
  <c r="M190" i="16"/>
  <c r="N190" i="16" s="1"/>
  <c r="Q190" i="16"/>
  <c r="P190" i="16"/>
  <c r="Q19" i="16"/>
  <c r="P19" i="16"/>
  <c r="M19" i="16"/>
  <c r="N19" i="16" s="1"/>
  <c r="K19" i="16"/>
  <c r="H21" i="16"/>
  <c r="J20" i="16"/>
  <c r="H192" i="16"/>
  <c r="J191" i="16"/>
  <c r="Q191" i="16" l="1"/>
  <c r="M191" i="16"/>
  <c r="N191" i="16" s="1"/>
  <c r="P191" i="16"/>
  <c r="K191" i="16"/>
  <c r="J192" i="16"/>
  <c r="H193" i="16"/>
  <c r="M20" i="16"/>
  <c r="N20" i="16" s="1"/>
  <c r="K20" i="16"/>
  <c r="Q20" i="16"/>
  <c r="P20" i="16"/>
  <c r="H22" i="16"/>
  <c r="J21" i="16"/>
  <c r="J193" i="16" l="1"/>
  <c r="H194" i="16"/>
  <c r="K21" i="16"/>
  <c r="M21" i="16"/>
  <c r="N21" i="16" s="1"/>
  <c r="P21" i="16"/>
  <c r="Q21" i="16"/>
  <c r="H23" i="16"/>
  <c r="J22" i="16"/>
  <c r="K192" i="16"/>
  <c r="P192" i="16"/>
  <c r="Q192" i="16"/>
  <c r="M192" i="16"/>
  <c r="N192" i="16" s="1"/>
  <c r="K22" i="16" l="1"/>
  <c r="M22" i="16"/>
  <c r="N22" i="16" s="1"/>
  <c r="Q22" i="16"/>
  <c r="P22" i="16"/>
  <c r="H24" i="16"/>
  <c r="J23" i="16"/>
  <c r="H195" i="16"/>
  <c r="J194" i="16"/>
  <c r="P193" i="16"/>
  <c r="K193" i="16"/>
  <c r="Q193" i="16"/>
  <c r="M193" i="16"/>
  <c r="N193" i="16" s="1"/>
  <c r="M194" i="16" l="1"/>
  <c r="N194" i="16" s="1"/>
  <c r="K194" i="16"/>
  <c r="P194" i="16"/>
  <c r="Q194" i="16"/>
  <c r="H196" i="16"/>
  <c r="J195" i="16"/>
  <c r="M23" i="16"/>
  <c r="N23" i="16" s="1"/>
  <c r="K23" i="16"/>
  <c r="P23" i="16"/>
  <c r="Q23" i="16"/>
  <c r="H25" i="16"/>
  <c r="J24" i="16"/>
  <c r="K24" i="16" l="1"/>
  <c r="M24" i="16"/>
  <c r="N24" i="16" s="1"/>
  <c r="Q24" i="16"/>
  <c r="P24" i="16"/>
  <c r="H26" i="16"/>
  <c r="J25" i="16"/>
  <c r="Q195" i="16"/>
  <c r="P195" i="16"/>
  <c r="K195" i="16"/>
  <c r="M195" i="16"/>
  <c r="N195" i="16" s="1"/>
  <c r="J196" i="16"/>
  <c r="H197" i="16"/>
  <c r="J197" i="16" l="1"/>
  <c r="H198" i="16"/>
  <c r="Q196" i="16"/>
  <c r="K196" i="16"/>
  <c r="M196" i="16"/>
  <c r="N196" i="16" s="1"/>
  <c r="P196" i="16"/>
  <c r="M25" i="16"/>
  <c r="N25" i="16" s="1"/>
  <c r="K25" i="16"/>
  <c r="Q25" i="16"/>
  <c r="P25" i="16"/>
  <c r="H27" i="16"/>
  <c r="J26" i="16"/>
  <c r="K26" i="16" l="1"/>
  <c r="M26" i="16"/>
  <c r="N26" i="16" s="1"/>
  <c r="P26" i="16"/>
  <c r="Q26" i="16"/>
  <c r="H28" i="16"/>
  <c r="J27" i="16"/>
  <c r="J198" i="16"/>
  <c r="H199" i="16"/>
  <c r="K197" i="16"/>
  <c r="M197" i="16"/>
  <c r="N197" i="16" s="1"/>
  <c r="Q197" i="16"/>
  <c r="P197" i="16"/>
  <c r="H200" i="16" l="1"/>
  <c r="J199" i="16"/>
  <c r="M198" i="16"/>
  <c r="N198" i="16" s="1"/>
  <c r="Q198" i="16"/>
  <c r="K198" i="16"/>
  <c r="P198" i="16"/>
  <c r="M27" i="16"/>
  <c r="N27" i="16" s="1"/>
  <c r="K27" i="16"/>
  <c r="P27" i="16"/>
  <c r="Q27" i="16"/>
  <c r="H29" i="16"/>
  <c r="J28" i="16"/>
  <c r="M28" i="16" l="1"/>
  <c r="N28" i="16" s="1"/>
  <c r="K28" i="16"/>
  <c r="P28" i="16"/>
  <c r="Q28" i="16"/>
  <c r="H30" i="16"/>
  <c r="J29" i="16"/>
  <c r="K199" i="16"/>
  <c r="M199" i="16"/>
  <c r="N199" i="16" s="1"/>
  <c r="P199" i="16"/>
  <c r="Q199" i="16"/>
  <c r="H201" i="16"/>
  <c r="J200" i="16"/>
  <c r="Q200" i="16" l="1"/>
  <c r="M200" i="16"/>
  <c r="N200" i="16" s="1"/>
  <c r="K200" i="16"/>
  <c r="P200" i="16"/>
  <c r="K29" i="16"/>
  <c r="P29" i="16"/>
  <c r="M29" i="16"/>
  <c r="N29" i="16" s="1"/>
  <c r="Q29" i="16"/>
  <c r="J201" i="16"/>
  <c r="H202" i="16"/>
  <c r="H31" i="16"/>
  <c r="J30" i="16"/>
  <c r="H203" i="16" l="1"/>
  <c r="J202" i="16"/>
  <c r="K30" i="16"/>
  <c r="M30" i="16"/>
  <c r="N30" i="16" s="1"/>
  <c r="Q30" i="16"/>
  <c r="P30" i="16"/>
  <c r="M201" i="16"/>
  <c r="N201" i="16" s="1"/>
  <c r="P201" i="16"/>
  <c r="K201" i="16"/>
  <c r="Q201" i="16"/>
  <c r="H32" i="16"/>
  <c r="J31" i="16"/>
  <c r="K31" i="16" l="1"/>
  <c r="M31" i="16"/>
  <c r="N31" i="16" s="1"/>
  <c r="P31" i="16"/>
  <c r="Q31" i="16"/>
  <c r="K202" i="16"/>
  <c r="P202" i="16"/>
  <c r="M202" i="16"/>
  <c r="N202" i="16" s="1"/>
  <c r="Q202" i="16"/>
  <c r="H33" i="16"/>
  <c r="J32" i="16"/>
  <c r="J203" i="16"/>
  <c r="H204" i="16"/>
  <c r="H34" i="16" l="1"/>
  <c r="J33" i="16"/>
  <c r="J204" i="16"/>
  <c r="H205" i="16"/>
  <c r="M203" i="16"/>
  <c r="N203" i="16" s="1"/>
  <c r="K203" i="16"/>
  <c r="Q203" i="16"/>
  <c r="P203" i="16"/>
  <c r="P32" i="16"/>
  <c r="M32" i="16"/>
  <c r="N32" i="16" s="1"/>
  <c r="Q32" i="16"/>
  <c r="K32" i="16"/>
  <c r="H206" i="16" l="1"/>
  <c r="J205" i="16"/>
  <c r="M204" i="16"/>
  <c r="N204" i="16" s="1"/>
  <c r="K204" i="16"/>
  <c r="Q204" i="16"/>
  <c r="P204" i="16"/>
  <c r="M33" i="16"/>
  <c r="N33" i="16" s="1"/>
  <c r="K33" i="16"/>
  <c r="Q33" i="16"/>
  <c r="P33" i="16"/>
  <c r="H35" i="16"/>
  <c r="J34" i="16"/>
  <c r="M34" i="16" l="1"/>
  <c r="N34" i="16" s="1"/>
  <c r="K34" i="16"/>
  <c r="Q34" i="16"/>
  <c r="P34" i="16"/>
  <c r="H36" i="16"/>
  <c r="J35" i="16"/>
  <c r="M205" i="16"/>
  <c r="N205" i="16" s="1"/>
  <c r="K205" i="16"/>
  <c r="Q205" i="16"/>
  <c r="P205" i="16"/>
  <c r="J206" i="16"/>
  <c r="H207" i="16"/>
  <c r="J207" i="16" s="1"/>
  <c r="M207" i="16" l="1"/>
  <c r="N207" i="16" s="1"/>
  <c r="K207" i="16"/>
  <c r="P207" i="16"/>
  <c r="Q207" i="16"/>
  <c r="K206" i="16"/>
  <c r="M206" i="16"/>
  <c r="N206" i="16" s="1"/>
  <c r="Q206" i="16"/>
  <c r="P206" i="16"/>
  <c r="K35" i="16"/>
  <c r="M35" i="16"/>
  <c r="N35" i="16" s="1"/>
  <c r="P35" i="16"/>
  <c r="Q35" i="16"/>
  <c r="H37" i="16"/>
  <c r="J36" i="16"/>
  <c r="M36" i="16" l="1"/>
  <c r="N36" i="16" s="1"/>
  <c r="K36" i="16"/>
  <c r="P36" i="16"/>
  <c r="Q36" i="16"/>
  <c r="H38" i="16"/>
  <c r="J37" i="16"/>
  <c r="K37" i="16" l="1"/>
  <c r="M37" i="16"/>
  <c r="N37" i="16" s="1"/>
  <c r="Q37" i="16"/>
  <c r="P37" i="16"/>
  <c r="H39" i="16"/>
  <c r="J38" i="16"/>
  <c r="H40" i="16" l="1"/>
  <c r="J39" i="16"/>
  <c r="K38" i="16"/>
  <c r="M38" i="16"/>
  <c r="N38" i="16" s="1"/>
  <c r="P38" i="16"/>
  <c r="Q38" i="16"/>
  <c r="K39" i="16" l="1"/>
  <c r="M39" i="16"/>
  <c r="N39" i="16" s="1"/>
  <c r="P39" i="16"/>
  <c r="Q39" i="16"/>
  <c r="H41" i="16"/>
  <c r="J40" i="16"/>
  <c r="K40" i="16" l="1"/>
  <c r="M40" i="16"/>
  <c r="N40" i="16" s="1"/>
  <c r="P40" i="16"/>
  <c r="Q40" i="16"/>
  <c r="H42" i="16"/>
  <c r="J41" i="16"/>
  <c r="K41" i="16" l="1"/>
  <c r="M41" i="16"/>
  <c r="N41" i="16" s="1"/>
  <c r="P41" i="16"/>
  <c r="Q41" i="16"/>
  <c r="H43" i="16"/>
  <c r="J42" i="16"/>
  <c r="M42" i="16" l="1"/>
  <c r="N42" i="16" s="1"/>
  <c r="K42" i="16"/>
  <c r="Q42" i="16"/>
  <c r="P42" i="16"/>
  <c r="H44" i="16"/>
  <c r="J43" i="16"/>
  <c r="K43" i="16" l="1"/>
  <c r="M43" i="16"/>
  <c r="N43" i="16" s="1"/>
  <c r="P43" i="16"/>
  <c r="Q43" i="16"/>
  <c r="H45" i="16"/>
  <c r="J44" i="16"/>
  <c r="K44" i="16" l="1"/>
  <c r="M44" i="16"/>
  <c r="N44" i="16" s="1"/>
  <c r="P44" i="16"/>
  <c r="Q44" i="16"/>
  <c r="H46" i="16"/>
  <c r="J45" i="16"/>
  <c r="H47" i="16" l="1"/>
  <c r="J46" i="16"/>
  <c r="M45" i="16"/>
  <c r="N45" i="16" s="1"/>
  <c r="K45" i="16"/>
  <c r="Q45" i="16"/>
  <c r="P45" i="16"/>
  <c r="K46" i="16" l="1"/>
  <c r="M46" i="16"/>
  <c r="N46" i="16" s="1"/>
  <c r="Q46" i="16"/>
  <c r="P46" i="16"/>
  <c r="H48" i="16"/>
  <c r="J47" i="16"/>
  <c r="K47" i="16" l="1"/>
  <c r="M47" i="16"/>
  <c r="N47" i="16" s="1"/>
  <c r="Q47" i="16"/>
  <c r="P47" i="16"/>
  <c r="H49" i="16"/>
  <c r="J48" i="16"/>
  <c r="M48" i="16" l="1"/>
  <c r="N48" i="16" s="1"/>
  <c r="K48" i="16"/>
  <c r="Q48" i="16"/>
  <c r="P48" i="16"/>
  <c r="H50" i="16"/>
  <c r="J49" i="16"/>
  <c r="K49" i="16" l="1"/>
  <c r="M49" i="16"/>
  <c r="N49" i="16" s="1"/>
  <c r="Q49" i="16"/>
  <c r="P49" i="16"/>
  <c r="H51" i="16"/>
  <c r="J50" i="16"/>
  <c r="K50" i="16" l="1"/>
  <c r="M50" i="16"/>
  <c r="N50" i="16" s="1"/>
  <c r="P50" i="16"/>
  <c r="Q50" i="16"/>
  <c r="H52" i="16"/>
  <c r="J51" i="16"/>
  <c r="K51" i="16" l="1"/>
  <c r="M51" i="16"/>
  <c r="N51" i="16" s="1"/>
  <c r="Q51" i="16"/>
  <c r="P51" i="16"/>
  <c r="H53" i="16"/>
  <c r="J52" i="16"/>
  <c r="H54" i="16" l="1"/>
  <c r="J53" i="16"/>
  <c r="M52" i="16"/>
  <c r="N52" i="16" s="1"/>
  <c r="K52" i="16"/>
  <c r="P52" i="16"/>
  <c r="Q52" i="16"/>
  <c r="K53" i="16" l="1"/>
  <c r="M53" i="16"/>
  <c r="N53" i="16" s="1"/>
  <c r="Q53" i="16"/>
  <c r="P53" i="16"/>
  <c r="H55" i="16"/>
  <c r="J54" i="16"/>
  <c r="M54" i="16" l="1"/>
  <c r="N54" i="16" s="1"/>
  <c r="K54" i="16"/>
  <c r="Q54" i="16"/>
  <c r="P54" i="16"/>
  <c r="H56" i="16"/>
  <c r="J55" i="16"/>
  <c r="M55" i="16" l="1"/>
  <c r="N55" i="16" s="1"/>
  <c r="K55" i="16"/>
  <c r="P55" i="16"/>
  <c r="Q55" i="16"/>
  <c r="H57" i="16"/>
  <c r="J56" i="16"/>
  <c r="H58" i="16" l="1"/>
  <c r="J57" i="16"/>
  <c r="M56" i="16"/>
  <c r="N56" i="16" s="1"/>
  <c r="K56" i="16"/>
  <c r="P56" i="16"/>
  <c r="Q56" i="16"/>
  <c r="K57" i="16" l="1"/>
  <c r="M57" i="16"/>
  <c r="N57" i="16" s="1"/>
  <c r="Q57" i="16"/>
  <c r="P57" i="16"/>
  <c r="H59" i="16"/>
  <c r="J58" i="16"/>
  <c r="H60" i="16" l="1"/>
  <c r="J59" i="16"/>
  <c r="K58" i="16"/>
  <c r="M58" i="16"/>
  <c r="N58" i="16" s="1"/>
  <c r="P58" i="16"/>
  <c r="Q58" i="16"/>
  <c r="M59" i="16" l="1"/>
  <c r="N59" i="16" s="1"/>
  <c r="K59" i="16"/>
  <c r="P59" i="16"/>
  <c r="Q59" i="16"/>
  <c r="H61" i="16"/>
  <c r="J60" i="16"/>
  <c r="H62" i="16" l="1"/>
  <c r="J61" i="16"/>
  <c r="K60" i="16"/>
  <c r="M60" i="16"/>
  <c r="N60" i="16" s="1"/>
  <c r="P60" i="16"/>
  <c r="Q60" i="16"/>
  <c r="M61" i="16" l="1"/>
  <c r="N61" i="16" s="1"/>
  <c r="K61" i="16"/>
  <c r="P61" i="16"/>
  <c r="Q61" i="16"/>
  <c r="H63" i="16"/>
  <c r="J62" i="16"/>
  <c r="M62" i="16" l="1"/>
  <c r="N62" i="16" s="1"/>
  <c r="K62" i="16"/>
  <c r="P62" i="16"/>
  <c r="Q62" i="16"/>
  <c r="H64" i="16"/>
  <c r="J63" i="16"/>
  <c r="K63" i="16" l="1"/>
  <c r="M63" i="16"/>
  <c r="N63" i="16" s="1"/>
  <c r="Q63" i="16"/>
  <c r="P63" i="16"/>
  <c r="H65" i="16"/>
  <c r="J64" i="16"/>
  <c r="M64" i="16" l="1"/>
  <c r="N64" i="16" s="1"/>
  <c r="K64" i="16"/>
  <c r="P64" i="16"/>
  <c r="Q64" i="16"/>
  <c r="H66" i="16"/>
  <c r="J65" i="16"/>
  <c r="H67" i="16" l="1"/>
  <c r="J66" i="16"/>
  <c r="K65" i="16"/>
  <c r="M65" i="16"/>
  <c r="N65" i="16" s="1"/>
  <c r="P65" i="16"/>
  <c r="Q65" i="16"/>
  <c r="K66" i="16" l="1"/>
  <c r="M66" i="16"/>
  <c r="N66" i="16" s="1"/>
  <c r="P66" i="16"/>
  <c r="Q66" i="16"/>
  <c r="H68" i="16"/>
  <c r="J67" i="16"/>
  <c r="K67" i="16" l="1"/>
  <c r="M67" i="16"/>
  <c r="N67" i="16" s="1"/>
  <c r="P67" i="16"/>
  <c r="Q67" i="16"/>
  <c r="H69" i="16"/>
  <c r="J68" i="16"/>
  <c r="M68" i="16" l="1"/>
  <c r="N68" i="16" s="1"/>
  <c r="K68" i="16"/>
  <c r="P68" i="16"/>
  <c r="Q68" i="16"/>
  <c r="H70" i="16"/>
  <c r="J69" i="16"/>
  <c r="H71" i="16" l="1"/>
  <c r="J70" i="16"/>
  <c r="M69" i="16"/>
  <c r="N69" i="16" s="1"/>
  <c r="K69" i="16"/>
  <c r="Q69" i="16"/>
  <c r="P69" i="16"/>
  <c r="K70" i="16" l="1"/>
  <c r="M70" i="16"/>
  <c r="N70" i="16" s="1"/>
  <c r="Q70" i="16"/>
  <c r="P70" i="16"/>
  <c r="H72" i="16"/>
  <c r="J71" i="16"/>
  <c r="M71" i="16" l="1"/>
  <c r="N71" i="16" s="1"/>
  <c r="K71" i="16"/>
  <c r="Q71" i="16"/>
  <c r="P71" i="16"/>
  <c r="H73" i="16"/>
  <c r="J72" i="16"/>
  <c r="K72" i="16" l="1"/>
  <c r="M72" i="16"/>
  <c r="N72" i="16" s="1"/>
  <c r="P72" i="16"/>
  <c r="Q72" i="16"/>
  <c r="H74" i="16"/>
  <c r="J73" i="16"/>
  <c r="H75" i="16" l="1"/>
  <c r="J74" i="16"/>
  <c r="M73" i="16"/>
  <c r="N73" i="16" s="1"/>
  <c r="K73" i="16"/>
  <c r="Q73" i="16"/>
  <c r="P73" i="16"/>
  <c r="K74" i="16" l="1"/>
  <c r="M74" i="16"/>
  <c r="N74" i="16" s="1"/>
  <c r="P74" i="16"/>
  <c r="Q74" i="16"/>
  <c r="H76" i="16"/>
  <c r="J75" i="16"/>
  <c r="H77" i="16" l="1"/>
  <c r="J76" i="16"/>
  <c r="K75" i="16"/>
  <c r="M75" i="16"/>
  <c r="N75" i="16" s="1"/>
  <c r="P75" i="16"/>
  <c r="Q75" i="16"/>
  <c r="K76" i="16" l="1"/>
  <c r="M76" i="16"/>
  <c r="N76" i="16" s="1"/>
  <c r="Q76" i="16"/>
  <c r="P76" i="16"/>
  <c r="H78" i="16"/>
  <c r="J77" i="16"/>
  <c r="M77" i="16" l="1"/>
  <c r="N77" i="16" s="1"/>
  <c r="K77" i="16"/>
  <c r="P77" i="16"/>
  <c r="Q77" i="16"/>
  <c r="H79" i="16"/>
  <c r="J78" i="16"/>
  <c r="K78" i="16" l="1"/>
  <c r="M78" i="16"/>
  <c r="N78" i="16" s="1"/>
  <c r="Q78" i="16"/>
  <c r="P78" i="16"/>
  <c r="H80" i="16"/>
  <c r="J79" i="16"/>
  <c r="M79" i="16" l="1"/>
  <c r="N79" i="16" s="1"/>
  <c r="K79" i="16"/>
  <c r="P79" i="16"/>
  <c r="Q79" i="16"/>
  <c r="H81" i="16"/>
  <c r="J80" i="16"/>
  <c r="M80" i="16" l="1"/>
  <c r="N80" i="16" s="1"/>
  <c r="K80" i="16"/>
  <c r="P80" i="16"/>
  <c r="Q80" i="16"/>
  <c r="H82" i="16"/>
  <c r="J81" i="16"/>
  <c r="M81" i="16" l="1"/>
  <c r="N81" i="16" s="1"/>
  <c r="K81" i="16"/>
  <c r="P81" i="16"/>
  <c r="Q81" i="16"/>
  <c r="H83" i="16"/>
  <c r="J82" i="16"/>
  <c r="M82" i="16" l="1"/>
  <c r="N82" i="16" s="1"/>
  <c r="K82" i="16"/>
  <c r="Q82" i="16"/>
  <c r="P82" i="16"/>
  <c r="H84" i="16"/>
  <c r="J83" i="16"/>
  <c r="H85" i="16" l="1"/>
  <c r="J84" i="16"/>
  <c r="K83" i="16"/>
  <c r="M83" i="16"/>
  <c r="N83" i="16" s="1"/>
  <c r="P83" i="16"/>
  <c r="Q83" i="16"/>
  <c r="M84" i="16" l="1"/>
  <c r="N84" i="16" s="1"/>
  <c r="K84" i="16"/>
  <c r="P84" i="16"/>
  <c r="Q84" i="16"/>
  <c r="H86" i="16"/>
  <c r="J85" i="16"/>
  <c r="M85" i="16" l="1"/>
  <c r="N85" i="16" s="1"/>
  <c r="K85" i="16"/>
  <c r="P85" i="16"/>
  <c r="Q85" i="16"/>
  <c r="H87" i="16"/>
  <c r="J86" i="16"/>
  <c r="K86" i="16" l="1"/>
  <c r="M86" i="16"/>
  <c r="N86" i="16" s="1"/>
  <c r="P86" i="16"/>
  <c r="Q86" i="16"/>
  <c r="H88" i="16"/>
  <c r="J87" i="16"/>
  <c r="K87" i="16" l="1"/>
  <c r="M87" i="16"/>
  <c r="N87" i="16" s="1"/>
  <c r="Q87" i="16"/>
  <c r="P87" i="16"/>
  <c r="H89" i="16"/>
  <c r="J88" i="16"/>
  <c r="H90" i="16" l="1"/>
  <c r="J89" i="16"/>
  <c r="K88" i="16"/>
  <c r="M88" i="16"/>
  <c r="N88" i="16" s="1"/>
  <c r="Q88" i="16"/>
  <c r="P88" i="16"/>
  <c r="M89" i="16" l="1"/>
  <c r="N89" i="16" s="1"/>
  <c r="K89" i="16"/>
  <c r="Q89" i="16"/>
  <c r="P89" i="16"/>
  <c r="H91" i="16"/>
  <c r="J90" i="16"/>
  <c r="K90" i="16" l="1"/>
  <c r="M90" i="16"/>
  <c r="N90" i="16" s="1"/>
  <c r="Q90" i="16"/>
  <c r="P90" i="16"/>
  <c r="H92" i="16"/>
  <c r="J91" i="16"/>
  <c r="M91" i="16" l="1"/>
  <c r="N91" i="16" s="1"/>
  <c r="K91" i="16"/>
  <c r="P91" i="16"/>
  <c r="Q91" i="16"/>
  <c r="H93" i="16"/>
  <c r="J92" i="16"/>
  <c r="M92" i="16" l="1"/>
  <c r="N92" i="16" s="1"/>
  <c r="K92" i="16"/>
  <c r="Q92" i="16"/>
  <c r="P92" i="16"/>
  <c r="H94" i="16"/>
  <c r="J93" i="16"/>
  <c r="M93" i="16" l="1"/>
  <c r="N93" i="16" s="1"/>
  <c r="K93" i="16"/>
  <c r="P93" i="16"/>
  <c r="Q93" i="16"/>
  <c r="H95" i="16"/>
  <c r="J94" i="16"/>
  <c r="K94" i="16" l="1"/>
  <c r="M94" i="16"/>
  <c r="N94" i="16" s="1"/>
  <c r="Q94" i="16"/>
  <c r="P94" i="16"/>
  <c r="H96" i="16"/>
  <c r="J95" i="16"/>
  <c r="H97" i="16" l="1"/>
  <c r="J96" i="16"/>
  <c r="K95" i="16"/>
  <c r="M95" i="16"/>
  <c r="N95" i="16" s="1"/>
  <c r="P95" i="16"/>
  <c r="Q95" i="16"/>
  <c r="K96" i="16" l="1"/>
  <c r="M96" i="16"/>
  <c r="N96" i="16" s="1"/>
  <c r="Q96" i="16"/>
  <c r="P96" i="16"/>
  <c r="H98" i="16"/>
  <c r="J97" i="16"/>
  <c r="K97" i="16" l="1"/>
  <c r="M97" i="16"/>
  <c r="N97" i="16" s="1"/>
  <c r="P97" i="16"/>
  <c r="Q97" i="16"/>
  <c r="H99" i="16"/>
  <c r="J98" i="16"/>
  <c r="H100" i="16" l="1"/>
  <c r="J99" i="16"/>
  <c r="M98" i="16"/>
  <c r="N98" i="16" s="1"/>
  <c r="Q98" i="16"/>
  <c r="K98" i="16"/>
  <c r="P98" i="16"/>
  <c r="M99" i="16" l="1"/>
  <c r="N99" i="16" s="1"/>
  <c r="K99" i="16"/>
  <c r="Q99" i="16"/>
  <c r="P99" i="16"/>
  <c r="H101" i="16"/>
  <c r="J100" i="16"/>
  <c r="H102" i="16" l="1"/>
  <c r="J101" i="16"/>
  <c r="K100" i="16"/>
  <c r="M100" i="16"/>
  <c r="N100" i="16" s="1"/>
  <c r="P100" i="16"/>
  <c r="Q100" i="16"/>
  <c r="M101" i="16" l="1"/>
  <c r="N101" i="16" s="1"/>
  <c r="K101" i="16"/>
  <c r="P101" i="16"/>
  <c r="Q101" i="16"/>
  <c r="H103" i="16"/>
  <c r="J102" i="16"/>
  <c r="M102" i="16" l="1"/>
  <c r="N102" i="16" s="1"/>
  <c r="K102" i="16"/>
  <c r="Q102" i="16"/>
  <c r="P102" i="16"/>
  <c r="H104" i="16"/>
  <c r="J103" i="16"/>
  <c r="H105" i="16" l="1"/>
  <c r="J104" i="16"/>
  <c r="M103" i="16"/>
  <c r="N103" i="16" s="1"/>
  <c r="K103" i="16"/>
  <c r="P103" i="16"/>
  <c r="Q103" i="16"/>
  <c r="K104" i="16" l="1"/>
  <c r="M104" i="16"/>
  <c r="N104" i="16" s="1"/>
  <c r="P104" i="16"/>
  <c r="Q104" i="16"/>
  <c r="H106" i="16"/>
  <c r="J105" i="16"/>
  <c r="H107" i="16" l="1"/>
  <c r="J106" i="16"/>
  <c r="M105" i="16"/>
  <c r="N105" i="16" s="1"/>
  <c r="K105" i="16"/>
  <c r="P105" i="16"/>
  <c r="Q105" i="16"/>
  <c r="M106" i="16" l="1"/>
  <c r="N106" i="16" s="1"/>
  <c r="K106" i="16"/>
  <c r="P106" i="16"/>
  <c r="Q106" i="16"/>
  <c r="H108" i="16"/>
  <c r="J107" i="16"/>
  <c r="K107" i="16" l="1"/>
  <c r="M107" i="16"/>
  <c r="N107" i="16" s="1"/>
  <c r="Q107" i="16"/>
  <c r="P107" i="16"/>
  <c r="H109" i="16"/>
  <c r="J108" i="16"/>
  <c r="H110" i="16" l="1"/>
  <c r="J109" i="16"/>
  <c r="K108" i="16"/>
  <c r="M108" i="16"/>
  <c r="N108" i="16" s="1"/>
  <c r="P108" i="16"/>
  <c r="Q108" i="16"/>
  <c r="M109" i="16" l="1"/>
  <c r="N109" i="16" s="1"/>
  <c r="K109" i="16"/>
  <c r="Q109" i="16"/>
  <c r="P109" i="16"/>
  <c r="H111" i="16"/>
  <c r="J110" i="16"/>
  <c r="M110" i="16" l="1"/>
  <c r="N110" i="16" s="1"/>
  <c r="K110" i="16"/>
  <c r="Q110" i="16"/>
  <c r="P110" i="16"/>
  <c r="H112" i="16"/>
  <c r="J111" i="16"/>
  <c r="K111" i="16" l="1"/>
  <c r="Q111" i="16"/>
  <c r="P111" i="16"/>
  <c r="M111" i="16"/>
  <c r="N111" i="16" s="1"/>
  <c r="H113" i="16"/>
  <c r="J112" i="16"/>
  <c r="K112" i="16" l="1"/>
  <c r="M112" i="16"/>
  <c r="N112" i="16" s="1"/>
  <c r="P112" i="16"/>
  <c r="Q112" i="16"/>
  <c r="H114" i="16"/>
  <c r="J113" i="16"/>
  <c r="P113" i="16" l="1"/>
  <c r="Q113" i="16"/>
  <c r="K113" i="16"/>
  <c r="M113" i="16"/>
  <c r="N113" i="16" s="1"/>
  <c r="H115" i="16"/>
  <c r="J114" i="16"/>
  <c r="H116" i="16" l="1"/>
  <c r="J115" i="16"/>
  <c r="K114" i="16"/>
  <c r="M114" i="16"/>
  <c r="N114" i="16" s="1"/>
  <c r="P114" i="16"/>
  <c r="Q114" i="16"/>
  <c r="K115" i="16" l="1"/>
  <c r="M115" i="16"/>
  <c r="N115" i="16" s="1"/>
  <c r="Q115" i="16"/>
  <c r="P115" i="16"/>
  <c r="H117" i="16"/>
  <c r="J116" i="16"/>
  <c r="M116" i="16" l="1"/>
  <c r="N116" i="16" s="1"/>
  <c r="K116" i="16"/>
  <c r="Q116" i="16"/>
  <c r="P116" i="16"/>
  <c r="H118" i="16"/>
  <c r="J117" i="16"/>
  <c r="H119" i="16" l="1"/>
  <c r="J118" i="16"/>
  <c r="M117" i="16"/>
  <c r="N117" i="16" s="1"/>
  <c r="K117" i="16"/>
  <c r="Q117" i="16"/>
  <c r="P117" i="16"/>
  <c r="K118" i="16" l="1"/>
  <c r="M118" i="16"/>
  <c r="N118" i="16" s="1"/>
  <c r="Q118" i="16"/>
  <c r="P118" i="16"/>
  <c r="H120" i="16"/>
  <c r="J119" i="16"/>
  <c r="M119" i="16" l="1"/>
  <c r="N119" i="16" s="1"/>
  <c r="K119" i="16"/>
  <c r="Q119" i="16"/>
  <c r="P119" i="16"/>
  <c r="H121" i="16"/>
  <c r="J120" i="16"/>
  <c r="M120" i="16" l="1"/>
  <c r="N120" i="16" s="1"/>
  <c r="K120" i="16"/>
  <c r="Q120" i="16"/>
  <c r="P120" i="16"/>
  <c r="H122" i="16"/>
  <c r="J121" i="16"/>
  <c r="K121" i="16" l="1"/>
  <c r="M121" i="16"/>
  <c r="N121" i="16" s="1"/>
  <c r="Q121" i="16"/>
  <c r="P121" i="16"/>
  <c r="H123" i="16"/>
  <c r="J122" i="16"/>
  <c r="M122" i="16" l="1"/>
  <c r="N122" i="16" s="1"/>
  <c r="K122" i="16"/>
  <c r="Q122" i="16"/>
  <c r="P122" i="16"/>
  <c r="H124" i="16"/>
  <c r="J123" i="16"/>
  <c r="K123" i="16" l="1"/>
  <c r="P123" i="16"/>
  <c r="M123" i="16"/>
  <c r="N123" i="16" s="1"/>
  <c r="Q123" i="16"/>
  <c r="H125" i="16"/>
  <c r="J124" i="16"/>
  <c r="M124" i="16" l="1"/>
  <c r="N124" i="16" s="1"/>
  <c r="K124" i="16"/>
  <c r="Q124" i="16"/>
  <c r="P124" i="16"/>
  <c r="H126" i="16"/>
  <c r="J125" i="16"/>
  <c r="Q125" i="16" l="1"/>
  <c r="M125" i="16"/>
  <c r="N125" i="16" s="1"/>
  <c r="P125" i="16"/>
  <c r="K125" i="16"/>
  <c r="H127" i="16"/>
  <c r="J126" i="16"/>
  <c r="M126" i="16" l="1"/>
  <c r="N126" i="16" s="1"/>
  <c r="K126" i="16"/>
  <c r="P126" i="16"/>
  <c r="Q126" i="16"/>
  <c r="H128" i="16"/>
  <c r="J127" i="16"/>
  <c r="K127" i="16" l="1"/>
  <c r="M127" i="16"/>
  <c r="N127" i="16" s="1"/>
  <c r="P127" i="16"/>
  <c r="Q127" i="16"/>
  <c r="H129" i="16"/>
  <c r="J128" i="16"/>
  <c r="M128" i="16" l="1"/>
  <c r="N128" i="16" s="1"/>
  <c r="K128" i="16"/>
  <c r="P128" i="16"/>
  <c r="Q128" i="16"/>
  <c r="H130" i="16"/>
  <c r="J129" i="16"/>
  <c r="M129" i="16" l="1"/>
  <c r="N129" i="16" s="1"/>
  <c r="P129" i="16"/>
  <c r="K129" i="16"/>
  <c r="Q129" i="16"/>
  <c r="H131" i="16"/>
  <c r="J130" i="16"/>
  <c r="P130" i="16" l="1"/>
  <c r="M130" i="16"/>
  <c r="N130" i="16" s="1"/>
  <c r="Q130" i="16"/>
  <c r="K130" i="16"/>
  <c r="H132" i="16"/>
  <c r="J131" i="16"/>
  <c r="H133" i="16" l="1"/>
  <c r="J132" i="16"/>
  <c r="K131" i="16"/>
  <c r="M131" i="16"/>
  <c r="N131" i="16" s="1"/>
  <c r="P131" i="16"/>
  <c r="Q131" i="16"/>
  <c r="M132" i="16" l="1"/>
  <c r="N132" i="16" s="1"/>
  <c r="Q132" i="16"/>
  <c r="K132" i="16"/>
  <c r="P132" i="16"/>
  <c r="H134" i="16"/>
  <c r="J133" i="16"/>
  <c r="M133" i="16" l="1"/>
  <c r="N133" i="16" s="1"/>
  <c r="K133" i="16"/>
  <c r="Q133" i="16"/>
  <c r="P133" i="16"/>
  <c r="H135" i="16"/>
  <c r="J134" i="16"/>
  <c r="K134" i="16" l="1"/>
  <c r="M134" i="16"/>
  <c r="N134" i="16" s="1"/>
  <c r="P134" i="16"/>
  <c r="Q134" i="16"/>
  <c r="H136" i="16"/>
  <c r="J135" i="16"/>
  <c r="K135" i="16" l="1"/>
  <c r="M135" i="16"/>
  <c r="N135" i="16" s="1"/>
  <c r="Q135" i="16"/>
  <c r="P135" i="16"/>
  <c r="H137" i="16"/>
  <c r="J136" i="16"/>
  <c r="M136" i="16" l="1"/>
  <c r="N136" i="16" s="1"/>
  <c r="K136" i="16"/>
  <c r="Q136" i="16"/>
  <c r="P136" i="16"/>
  <c r="H138" i="16"/>
  <c r="J137" i="16"/>
  <c r="K137" i="16" l="1"/>
  <c r="M137" i="16"/>
  <c r="N137" i="16" s="1"/>
  <c r="P137" i="16"/>
  <c r="Q137" i="16"/>
  <c r="H139" i="16"/>
  <c r="J138" i="16"/>
  <c r="K138" i="16" l="1"/>
  <c r="M138" i="16"/>
  <c r="N138" i="16" s="1"/>
  <c r="P138" i="16"/>
  <c r="Q138" i="16"/>
  <c r="H140" i="16"/>
  <c r="J139" i="16"/>
  <c r="H141" i="16" l="1"/>
  <c r="J140" i="16"/>
  <c r="K139" i="16"/>
  <c r="M139" i="16"/>
  <c r="N139" i="16" s="1"/>
  <c r="Q139" i="16"/>
  <c r="P139" i="16"/>
  <c r="M140" i="16" l="1"/>
  <c r="N140" i="16" s="1"/>
  <c r="K140" i="16"/>
  <c r="P140" i="16"/>
  <c r="Q140" i="16"/>
  <c r="H142" i="16"/>
  <c r="J141" i="16"/>
  <c r="K141" i="16" l="1"/>
  <c r="M141" i="16"/>
  <c r="N141" i="16" s="1"/>
  <c r="P141" i="16"/>
  <c r="Q141" i="16"/>
  <c r="H143" i="16"/>
  <c r="J142" i="16"/>
  <c r="K142" i="16" l="1"/>
  <c r="M142" i="16"/>
  <c r="N142" i="16" s="1"/>
  <c r="Q142" i="16"/>
  <c r="P142" i="16"/>
  <c r="H144" i="16"/>
  <c r="J143" i="16"/>
  <c r="K143" i="16" l="1"/>
  <c r="M143" i="16"/>
  <c r="N143" i="16" s="1"/>
  <c r="Q143" i="16"/>
  <c r="P143" i="16"/>
  <c r="H145" i="16"/>
  <c r="J144" i="16"/>
  <c r="H146" i="16" l="1"/>
  <c r="J145" i="16"/>
  <c r="M144" i="16"/>
  <c r="N144" i="16" s="1"/>
  <c r="K144" i="16"/>
  <c r="Q144" i="16"/>
  <c r="P144" i="16"/>
  <c r="M145" i="16" l="1"/>
  <c r="N145" i="16" s="1"/>
  <c r="K145" i="16"/>
  <c r="Q145" i="16"/>
  <c r="P145" i="16"/>
  <c r="H147" i="16"/>
  <c r="J146" i="16"/>
  <c r="K146" i="16" l="1"/>
  <c r="M146" i="16"/>
  <c r="N146" i="16" s="1"/>
  <c r="Q146" i="16"/>
  <c r="P146" i="16"/>
  <c r="H148" i="16"/>
  <c r="J147" i="16"/>
  <c r="H149" i="16" l="1"/>
  <c r="J148" i="16"/>
  <c r="K147" i="16"/>
  <c r="M147" i="16"/>
  <c r="N147" i="16" s="1"/>
  <c r="Q147" i="16"/>
  <c r="P147" i="16"/>
  <c r="K148" i="16" l="1"/>
  <c r="M148" i="16"/>
  <c r="N148" i="16" s="1"/>
  <c r="Q148" i="16"/>
  <c r="P148" i="16"/>
  <c r="H150" i="16"/>
  <c r="J149" i="16"/>
  <c r="M149" i="16" l="1"/>
  <c r="N149" i="16" s="1"/>
  <c r="K149" i="16"/>
  <c r="Q149" i="16"/>
  <c r="P149" i="16"/>
  <c r="H151" i="16"/>
  <c r="J150" i="16"/>
  <c r="K150" i="16" l="1"/>
  <c r="M150" i="16"/>
  <c r="N150" i="16" s="1"/>
  <c r="Q150" i="16"/>
  <c r="P150" i="16"/>
  <c r="H152" i="16"/>
  <c r="J151" i="16"/>
  <c r="Q151" i="16" l="1"/>
  <c r="M151" i="16"/>
  <c r="N151" i="16" s="1"/>
  <c r="K151" i="16"/>
  <c r="P151" i="16"/>
  <c r="H153" i="16"/>
  <c r="J152" i="16"/>
  <c r="K152" i="16" l="1"/>
  <c r="Q152" i="16"/>
  <c r="M152" i="16"/>
  <c r="N152" i="16" s="1"/>
  <c r="P152" i="16"/>
  <c r="H154" i="16"/>
  <c r="J153" i="16"/>
  <c r="H155" i="16" l="1"/>
  <c r="J154" i="16"/>
  <c r="M153" i="16"/>
  <c r="N153" i="16" s="1"/>
  <c r="K153" i="16"/>
  <c r="P153" i="16"/>
  <c r="Q153" i="16"/>
  <c r="K154" i="16" l="1"/>
  <c r="M154" i="16"/>
  <c r="N154" i="16" s="1"/>
  <c r="Q154" i="16"/>
  <c r="P154" i="16"/>
  <c r="H156" i="16"/>
  <c r="J155" i="16"/>
  <c r="M155" i="16" l="1"/>
  <c r="N155" i="16" s="1"/>
  <c r="K155" i="16"/>
  <c r="Q155" i="16"/>
  <c r="P155" i="16"/>
  <c r="H157" i="16"/>
  <c r="J156" i="16"/>
  <c r="M156" i="16" l="1"/>
  <c r="N156" i="16" s="1"/>
  <c r="K156" i="16"/>
  <c r="P156" i="16"/>
  <c r="Q156" i="16"/>
  <c r="H158" i="16"/>
  <c r="J157" i="16"/>
  <c r="H159" i="16" l="1"/>
  <c r="J158" i="16"/>
  <c r="K157" i="16"/>
  <c r="M157" i="16"/>
  <c r="N157" i="16" s="1"/>
  <c r="Q157" i="16"/>
  <c r="P157" i="16"/>
  <c r="M158" i="16" l="1"/>
  <c r="N158" i="16" s="1"/>
  <c r="K158" i="16"/>
  <c r="P158" i="16"/>
  <c r="Q158" i="16"/>
  <c r="H160" i="16"/>
  <c r="J159" i="16"/>
  <c r="H161" i="16" l="1"/>
  <c r="J160" i="16"/>
  <c r="M159" i="16"/>
  <c r="N159" i="16" s="1"/>
  <c r="K159" i="16"/>
  <c r="P159" i="16"/>
  <c r="Q159" i="16"/>
  <c r="M160" i="16" l="1"/>
  <c r="N160" i="16" s="1"/>
  <c r="K160" i="16"/>
  <c r="Q160" i="16"/>
  <c r="P160" i="16"/>
  <c r="H162" i="16"/>
  <c r="J161" i="16"/>
  <c r="M161" i="16" l="1"/>
  <c r="N161" i="16" s="1"/>
  <c r="K161" i="16"/>
  <c r="P161" i="16"/>
  <c r="Q161" i="16"/>
  <c r="H163" i="16"/>
  <c r="J162" i="16"/>
  <c r="M162" i="16" l="1"/>
  <c r="N162" i="16" s="1"/>
  <c r="K162" i="16"/>
  <c r="P162" i="16"/>
  <c r="Q162" i="16"/>
  <c r="H164" i="16"/>
  <c r="J163" i="16"/>
  <c r="K163" i="16" l="1"/>
  <c r="M163" i="16"/>
  <c r="N163" i="16" s="1"/>
  <c r="Q163" i="16"/>
  <c r="P163" i="16"/>
  <c r="H165" i="16"/>
  <c r="J164" i="16"/>
  <c r="K164" i="16" l="1"/>
  <c r="M164" i="16"/>
  <c r="N164" i="16" s="1"/>
  <c r="P164" i="16"/>
  <c r="Q164" i="16"/>
  <c r="H166" i="16"/>
  <c r="J165" i="16"/>
  <c r="M165" i="16" l="1"/>
  <c r="N165" i="16" s="1"/>
  <c r="K165" i="16"/>
  <c r="Q165" i="16"/>
  <c r="P165" i="16"/>
  <c r="H167" i="16"/>
  <c r="J166" i="16"/>
  <c r="K166" i="16" l="1"/>
  <c r="M166" i="16"/>
  <c r="N166" i="16" s="1"/>
  <c r="P166" i="16"/>
  <c r="Q166" i="16"/>
  <c r="H168" i="16"/>
  <c r="J167" i="16"/>
  <c r="K167" i="16" l="1"/>
  <c r="M167" i="16"/>
  <c r="N167" i="16" s="1"/>
  <c r="Q167" i="16"/>
  <c r="P167" i="16"/>
  <c r="H169" i="16"/>
  <c r="J168" i="16"/>
  <c r="K168" i="16" l="1"/>
  <c r="M168" i="16"/>
  <c r="N168" i="16" s="1"/>
  <c r="Q168" i="16"/>
  <c r="P168" i="16"/>
  <c r="H170" i="16"/>
  <c r="J169" i="16"/>
  <c r="M169" i="16" l="1"/>
  <c r="N169" i="16" s="1"/>
  <c r="K169" i="16"/>
  <c r="P169" i="16"/>
  <c r="Q169" i="16"/>
  <c r="H171" i="16"/>
  <c r="J170" i="16"/>
  <c r="M170" i="16" l="1"/>
  <c r="N170" i="16" s="1"/>
  <c r="K170" i="16"/>
  <c r="P170" i="16"/>
  <c r="Q170" i="16"/>
  <c r="H172" i="16"/>
  <c r="J171" i="16"/>
  <c r="K171" i="16" l="1"/>
  <c r="M171" i="16"/>
  <c r="N171" i="16" s="1"/>
  <c r="P171" i="16"/>
  <c r="Q171" i="16"/>
  <c r="H173" i="16"/>
  <c r="J172" i="16"/>
  <c r="K172" i="16" l="1"/>
  <c r="M172" i="16"/>
  <c r="N172" i="16" s="1"/>
  <c r="Q172" i="16"/>
  <c r="P172" i="16"/>
  <c r="H174" i="16"/>
  <c r="J173" i="16"/>
  <c r="M173" i="16" l="1"/>
  <c r="N173" i="16" s="1"/>
  <c r="K173" i="16"/>
  <c r="Q173" i="16"/>
  <c r="P173" i="16"/>
  <c r="H175" i="16"/>
  <c r="J174" i="16"/>
  <c r="K174" i="16" l="1"/>
  <c r="M174" i="16"/>
  <c r="N174" i="16" s="1"/>
  <c r="Q174" i="16"/>
  <c r="P174" i="16"/>
  <c r="H176" i="16"/>
  <c r="J175" i="16"/>
  <c r="M175" i="16" l="1"/>
  <c r="N175" i="16" s="1"/>
  <c r="K175" i="16"/>
  <c r="P175" i="16"/>
  <c r="Q175" i="16"/>
  <c r="H177" i="16"/>
  <c r="J177" i="16" s="1"/>
  <c r="J176" i="16"/>
  <c r="K176" i="16" l="1"/>
  <c r="A169" i="16" s="1"/>
  <c r="M176" i="16"/>
  <c r="N176" i="16" s="1"/>
  <c r="Q176" i="16"/>
  <c r="P176" i="16"/>
  <c r="M177" i="16"/>
  <c r="N177" i="16" s="1"/>
  <c r="B167" i="16" s="1"/>
  <c r="K177" i="16"/>
  <c r="P177" i="16"/>
  <c r="Q177" i="16"/>
  <c r="A175" i="16"/>
  <c r="A167" i="16"/>
  <c r="A171" i="16"/>
  <c r="B173" i="16"/>
  <c r="B169" i="16" l="1"/>
  <c r="B175" i="16"/>
  <c r="B171" i="16"/>
  <c r="A173" i="16"/>
  <c r="A177" i="16"/>
  <c r="A20" i="16"/>
  <c r="A194" i="16"/>
  <c r="A26" i="16"/>
  <c r="A182" i="16"/>
  <c r="A191" i="16"/>
  <c r="A9" i="16"/>
  <c r="A19" i="16"/>
  <c r="A202" i="16"/>
  <c r="A185" i="16"/>
  <c r="A204" i="16"/>
  <c r="A201" i="16"/>
  <c r="A29" i="16"/>
  <c r="A188" i="16"/>
  <c r="A183" i="16"/>
  <c r="A203" i="16"/>
  <c r="A33" i="16"/>
  <c r="A32" i="16"/>
  <c r="A178" i="16"/>
  <c r="A17" i="16"/>
  <c r="A192" i="16"/>
  <c r="A179" i="16"/>
  <c r="A18" i="16"/>
  <c r="A205" i="16"/>
  <c r="A181" i="16"/>
  <c r="A21" i="16"/>
  <c r="A206" i="16"/>
  <c r="A193" i="16"/>
  <c r="A10" i="16"/>
  <c r="A30" i="16"/>
  <c r="A200" i="16"/>
  <c r="A35" i="16"/>
  <c r="A207" i="16"/>
  <c r="A12" i="16"/>
  <c r="A28" i="16"/>
  <c r="A180" i="16"/>
  <c r="A34" i="16"/>
  <c r="A199" i="16"/>
  <c r="A8" i="16"/>
  <c r="A189" i="16"/>
  <c r="A187" i="16"/>
  <c r="A27" i="16"/>
  <c r="A22" i="16"/>
  <c r="A11" i="16"/>
  <c r="A195" i="16"/>
  <c r="A13" i="16"/>
  <c r="A196" i="16"/>
  <c r="A190" i="16"/>
  <c r="A25" i="16"/>
  <c r="A31" i="16"/>
  <c r="A14" i="16"/>
  <c r="A197" i="16"/>
  <c r="A198" i="16"/>
  <c r="A16" i="16"/>
  <c r="A15" i="16"/>
  <c r="A37" i="16"/>
  <c r="A186" i="16"/>
  <c r="A23" i="16"/>
  <c r="A184" i="16"/>
  <c r="A24" i="16"/>
  <c r="A36" i="16"/>
  <c r="A39" i="16"/>
  <c r="A40" i="16"/>
  <c r="A38" i="16"/>
  <c r="A42" i="16"/>
  <c r="A41" i="16"/>
  <c r="A44" i="16"/>
  <c r="A43" i="16"/>
  <c r="A46" i="16"/>
  <c r="A45" i="16"/>
  <c r="A47" i="16"/>
  <c r="A48" i="16"/>
  <c r="A50" i="16"/>
  <c r="A49" i="16"/>
  <c r="A51" i="16"/>
  <c r="A52" i="16"/>
  <c r="A54" i="16"/>
  <c r="A55" i="16"/>
  <c r="A53" i="16"/>
  <c r="A57" i="16"/>
  <c r="A56" i="16"/>
  <c r="A58" i="16"/>
  <c r="A59" i="16"/>
  <c r="A60" i="16"/>
  <c r="A62" i="16"/>
  <c r="A61" i="16"/>
  <c r="A63" i="16"/>
  <c r="A64" i="16"/>
  <c r="A66" i="16"/>
  <c r="A67" i="16"/>
  <c r="A65" i="16"/>
  <c r="A68" i="16"/>
  <c r="A70" i="16"/>
  <c r="A69" i="16"/>
  <c r="A72" i="16"/>
  <c r="A71" i="16"/>
  <c r="A73" i="16"/>
  <c r="A74" i="16"/>
  <c r="A75" i="16"/>
  <c r="A76" i="16"/>
  <c r="A77" i="16"/>
  <c r="A78" i="16"/>
  <c r="A79" i="16"/>
  <c r="A80" i="16"/>
  <c r="A82" i="16"/>
  <c r="A81" i="16"/>
  <c r="A84" i="16"/>
  <c r="A83" i="16"/>
  <c r="A85" i="16"/>
  <c r="A88" i="16"/>
  <c r="A86" i="16"/>
  <c r="A87" i="16"/>
  <c r="A90" i="16"/>
  <c r="A91" i="16"/>
  <c r="A89" i="16"/>
  <c r="A92" i="16"/>
  <c r="A93" i="16"/>
  <c r="A96" i="16"/>
  <c r="A97" i="16"/>
  <c r="A94" i="16"/>
  <c r="A95" i="16"/>
  <c r="A98" i="16"/>
  <c r="A99" i="16"/>
  <c r="A100" i="16"/>
  <c r="A102" i="16"/>
  <c r="A104" i="16"/>
  <c r="A101" i="16"/>
  <c r="A103" i="16"/>
  <c r="A105" i="16"/>
  <c r="A106" i="16"/>
  <c r="A108" i="16"/>
  <c r="A107" i="16"/>
  <c r="A110" i="16"/>
  <c r="A109" i="16"/>
  <c r="A112" i="16"/>
  <c r="A115" i="16"/>
  <c r="A111" i="16"/>
  <c r="A114" i="16"/>
  <c r="A113" i="16"/>
  <c r="A116" i="16"/>
  <c r="A118" i="16"/>
  <c r="A117" i="16"/>
  <c r="A121" i="16"/>
  <c r="A119" i="16"/>
  <c r="A120" i="16"/>
  <c r="A122" i="16"/>
  <c r="A123" i="16"/>
  <c r="A124" i="16"/>
  <c r="A125" i="16"/>
  <c r="A127" i="16"/>
  <c r="A126" i="16"/>
  <c r="A129" i="16"/>
  <c r="A128" i="16"/>
  <c r="A131" i="16"/>
  <c r="A130" i="16"/>
  <c r="A132" i="16"/>
  <c r="A133" i="16"/>
  <c r="A134" i="16"/>
  <c r="A135" i="16"/>
  <c r="A136" i="16"/>
  <c r="A138" i="16"/>
  <c r="A137" i="16"/>
  <c r="A142" i="16"/>
  <c r="A139" i="16"/>
  <c r="A140" i="16"/>
  <c r="A141" i="16"/>
  <c r="A144" i="16"/>
  <c r="A143" i="16"/>
  <c r="A145" i="16"/>
  <c r="A146" i="16"/>
  <c r="A147" i="16"/>
  <c r="A148" i="16"/>
  <c r="A149" i="16"/>
  <c r="A152" i="16"/>
  <c r="A150" i="16"/>
  <c r="A153" i="16"/>
  <c r="A151" i="16"/>
  <c r="A156" i="16"/>
  <c r="A154" i="16"/>
  <c r="A155" i="16"/>
  <c r="A157" i="16"/>
  <c r="A158" i="16"/>
  <c r="A159" i="16"/>
  <c r="A160" i="16"/>
  <c r="A161" i="16"/>
  <c r="A162" i="16"/>
  <c r="A163" i="16"/>
  <c r="A164" i="16"/>
  <c r="A165" i="16"/>
  <c r="A166" i="16"/>
  <c r="B176" i="16"/>
  <c r="B174" i="16"/>
  <c r="B170" i="16"/>
  <c r="B172" i="16"/>
  <c r="B168" i="16"/>
  <c r="B177" i="16"/>
  <c r="B201" i="16"/>
  <c r="B202" i="16"/>
  <c r="B30" i="16"/>
  <c r="B204" i="16"/>
  <c r="B31" i="16"/>
  <c r="B32" i="16"/>
  <c r="B205" i="16"/>
  <c r="B203" i="16"/>
  <c r="B196" i="16"/>
  <c r="B200" i="16"/>
  <c r="B206" i="16"/>
  <c r="B207" i="16"/>
  <c r="B193" i="16"/>
  <c r="B199" i="16"/>
  <c r="B23" i="16"/>
  <c r="B34" i="16"/>
  <c r="B22" i="16"/>
  <c r="B15" i="16"/>
  <c r="B186" i="16"/>
  <c r="B188" i="16"/>
  <c r="B26" i="16"/>
  <c r="B17" i="16"/>
  <c r="B33" i="16"/>
  <c r="B37" i="16"/>
  <c r="B21" i="16"/>
  <c r="B24" i="16"/>
  <c r="B25" i="16"/>
  <c r="B35" i="16"/>
  <c r="B29" i="16"/>
  <c r="B18" i="16"/>
  <c r="B194" i="16"/>
  <c r="B178" i="16"/>
  <c r="B14" i="16"/>
  <c r="B185" i="16"/>
  <c r="B191" i="16"/>
  <c r="B198" i="16"/>
  <c r="B195" i="16"/>
  <c r="B13" i="16"/>
  <c r="B12" i="16"/>
  <c r="B9" i="16"/>
  <c r="B28" i="16"/>
  <c r="B184" i="16"/>
  <c r="B19" i="16"/>
  <c r="B189" i="16"/>
  <c r="B190" i="16"/>
  <c r="B11" i="16"/>
  <c r="B10" i="16"/>
  <c r="B181" i="16"/>
  <c r="B20" i="16"/>
  <c r="B197" i="16"/>
  <c r="B27" i="16"/>
  <c r="B192" i="16"/>
  <c r="B180" i="16"/>
  <c r="B179" i="16"/>
  <c r="B182" i="16"/>
  <c r="B187" i="16"/>
  <c r="B16" i="16"/>
  <c r="B183" i="16"/>
  <c r="B8" i="16"/>
  <c r="B36" i="16"/>
  <c r="B38" i="16"/>
  <c r="B39" i="16"/>
  <c r="B43" i="16"/>
  <c r="B41" i="16"/>
  <c r="B40" i="16"/>
  <c r="B42" i="16"/>
  <c r="B44" i="16"/>
  <c r="B45" i="16"/>
  <c r="B47" i="16"/>
  <c r="B46" i="16"/>
  <c r="B49" i="16"/>
  <c r="B48" i="16"/>
  <c r="B51" i="16"/>
  <c r="B50" i="16"/>
  <c r="B54" i="16"/>
  <c r="B52" i="16"/>
  <c r="B53" i="16"/>
  <c r="B57" i="16"/>
  <c r="B55" i="16"/>
  <c r="B58" i="16"/>
  <c r="B56" i="16"/>
  <c r="B59" i="16"/>
  <c r="B60" i="16"/>
  <c r="B61" i="16"/>
  <c r="B63" i="16"/>
  <c r="B65" i="16"/>
  <c r="B62" i="16"/>
  <c r="B64" i="16"/>
  <c r="B69" i="16"/>
  <c r="B68" i="16"/>
  <c r="B67" i="16"/>
  <c r="B70" i="16"/>
  <c r="B66" i="16"/>
  <c r="B73" i="16"/>
  <c r="B71" i="16"/>
  <c r="B72" i="16"/>
  <c r="B74" i="16"/>
  <c r="B76" i="16"/>
  <c r="B75" i="16"/>
  <c r="B77" i="16"/>
  <c r="B79" i="16"/>
  <c r="B78" i="16"/>
  <c r="B81" i="16"/>
  <c r="B80" i="16"/>
  <c r="B83" i="16"/>
  <c r="B82" i="16"/>
  <c r="B84" i="16"/>
  <c r="B87" i="16"/>
  <c r="B85" i="16"/>
  <c r="B86" i="16"/>
  <c r="B90" i="16"/>
  <c r="B88" i="16"/>
  <c r="B89" i="16"/>
  <c r="B92" i="16"/>
  <c r="B93" i="16"/>
  <c r="B91" i="16"/>
  <c r="B95" i="16"/>
  <c r="B99" i="16"/>
  <c r="B97" i="16"/>
  <c r="B94" i="16"/>
  <c r="B96" i="16"/>
  <c r="B102" i="16"/>
  <c r="B100" i="16"/>
  <c r="B98" i="16"/>
  <c r="B101" i="16"/>
  <c r="B103" i="16"/>
  <c r="B105" i="16"/>
  <c r="B107" i="16"/>
  <c r="B104" i="16"/>
  <c r="B106" i="16"/>
  <c r="B109" i="16"/>
  <c r="B113" i="16"/>
  <c r="B108" i="16"/>
  <c r="B110" i="16"/>
  <c r="B111" i="16"/>
  <c r="B112" i="16"/>
  <c r="B115" i="16"/>
  <c r="B114" i="16"/>
  <c r="B116" i="16"/>
  <c r="B119" i="16"/>
  <c r="B117" i="16"/>
  <c r="B121" i="16"/>
  <c r="B118" i="16"/>
  <c r="B120" i="16"/>
  <c r="B122" i="16"/>
  <c r="B123" i="16"/>
  <c r="B124" i="16"/>
  <c r="B125" i="16"/>
  <c r="B127" i="16"/>
  <c r="B126" i="16"/>
  <c r="B129" i="16"/>
  <c r="B128" i="16"/>
  <c r="B130" i="16"/>
  <c r="B131" i="16"/>
  <c r="B132" i="16"/>
  <c r="B133" i="16"/>
  <c r="B137" i="16"/>
  <c r="B135" i="16"/>
  <c r="B138" i="16"/>
  <c r="B134" i="16"/>
  <c r="B136" i="16"/>
  <c r="B139" i="16"/>
  <c r="B140" i="16"/>
  <c r="B141" i="16"/>
  <c r="B143" i="16"/>
  <c r="B142" i="16"/>
  <c r="B144" i="16"/>
  <c r="B146" i="16"/>
  <c r="B145" i="16"/>
  <c r="B147" i="16"/>
  <c r="B149" i="16"/>
  <c r="B151" i="16"/>
  <c r="B148" i="16"/>
  <c r="B153" i="16"/>
  <c r="B150" i="16"/>
  <c r="B155" i="16"/>
  <c r="B152" i="16"/>
  <c r="B157" i="16"/>
  <c r="B154" i="16"/>
  <c r="B156" i="16"/>
  <c r="B159" i="16"/>
  <c r="B158" i="16"/>
  <c r="B160" i="16"/>
  <c r="B161" i="16"/>
  <c r="B162" i="16"/>
  <c r="B163" i="16"/>
  <c r="B164" i="16"/>
  <c r="B165" i="16"/>
  <c r="B166" i="16"/>
  <c r="A176" i="16"/>
  <c r="A170" i="16"/>
  <c r="A172" i="16"/>
  <c r="A168" i="16"/>
  <c r="A174" i="16"/>
  <c r="C181" i="22" l="1"/>
  <c r="C197" i="22"/>
  <c r="X178" i="22"/>
  <c r="C179" i="22"/>
  <c r="C195" i="22"/>
  <c r="X176" i="22"/>
  <c r="X192" i="22"/>
  <c r="X208" i="22"/>
  <c r="C196" i="22"/>
  <c r="X191" i="22"/>
  <c r="T182" i="22"/>
  <c r="T198" i="22"/>
  <c r="R184" i="22"/>
  <c r="R200" i="22"/>
  <c r="K185" i="22"/>
  <c r="K201" i="22"/>
  <c r="D187" i="22"/>
  <c r="D203" i="22"/>
  <c r="C198" i="22"/>
  <c r="X193" i="22"/>
  <c r="T183" i="22"/>
  <c r="T199" i="22"/>
  <c r="R185" i="22"/>
  <c r="R201" i="22"/>
  <c r="K186" i="22"/>
  <c r="K202" i="22"/>
  <c r="D188" i="22"/>
  <c r="D204" i="22"/>
  <c r="X175" i="22"/>
  <c r="T189" i="22"/>
  <c r="R191" i="22"/>
  <c r="K192" i="22"/>
  <c r="D194" i="22"/>
  <c r="X181" i="22"/>
  <c r="T192" i="22"/>
  <c r="R194" i="22"/>
  <c r="K195" i="22"/>
  <c r="D197" i="22"/>
  <c r="X183" i="22"/>
  <c r="T193" i="22"/>
  <c r="R195" i="22"/>
  <c r="K196" i="22"/>
  <c r="D198" i="22"/>
  <c r="R182" i="22"/>
  <c r="T188" i="22"/>
  <c r="X189" i="22"/>
  <c r="D201" i="22"/>
  <c r="R206" i="22"/>
  <c r="X115" i="22"/>
  <c r="X48" i="22"/>
  <c r="T157" i="22"/>
  <c r="T74" i="22"/>
  <c r="T95" i="22"/>
  <c r="X87" i="22"/>
  <c r="T11" i="22"/>
  <c r="T97" i="22"/>
  <c r="T30" i="22"/>
  <c r="X82" i="22"/>
  <c r="X27" i="22"/>
  <c r="T120" i="22"/>
  <c r="T37" i="22"/>
  <c r="X117" i="22"/>
  <c r="C185" i="22"/>
  <c r="C201" i="22"/>
  <c r="X182" i="22"/>
  <c r="C183" i="22"/>
  <c r="C199" i="22"/>
  <c r="X180" i="22"/>
  <c r="X196" i="22"/>
  <c r="T181" i="22"/>
  <c r="C204" i="22"/>
  <c r="X197" i="22"/>
  <c r="T186" i="22"/>
  <c r="T202" i="22"/>
  <c r="R188" i="22"/>
  <c r="R204" i="22"/>
  <c r="K189" i="22"/>
  <c r="K205" i="22"/>
  <c r="D191" i="22"/>
  <c r="D207" i="22"/>
  <c r="C206" i="22"/>
  <c r="X198" i="22"/>
  <c r="T187" i="22"/>
  <c r="T203" i="22"/>
  <c r="R189" i="22"/>
  <c r="R205" i="22"/>
  <c r="K190" i="22"/>
  <c r="K206" i="22"/>
  <c r="D192" i="22"/>
  <c r="D208" i="22"/>
  <c r="X190" i="22"/>
  <c r="T197" i="22"/>
  <c r="R199" i="22"/>
  <c r="K200" i="22"/>
  <c r="D202" i="22"/>
  <c r="X194" i="22"/>
  <c r="T200" i="22"/>
  <c r="R202" i="22"/>
  <c r="K203" i="22"/>
  <c r="D205" i="22"/>
  <c r="X195" i="22"/>
  <c r="T201" i="22"/>
  <c r="R203" i="22"/>
  <c r="K204" i="22"/>
  <c r="D206" i="22"/>
  <c r="K183" i="22"/>
  <c r="R190" i="22"/>
  <c r="T196" i="22"/>
  <c r="C176" i="22"/>
  <c r="K207" i="22"/>
  <c r="T32" i="22"/>
  <c r="X112" i="22"/>
  <c r="X45" i="22"/>
  <c r="T138" i="22"/>
  <c r="T19" i="22"/>
  <c r="X151" i="22"/>
  <c r="X68" i="22"/>
  <c r="T161" i="22"/>
  <c r="T94" i="22"/>
  <c r="T175" i="22"/>
  <c r="X91" i="22"/>
  <c r="T15" i="22"/>
  <c r="T101" i="22"/>
  <c r="T18" i="22"/>
  <c r="C189" i="22"/>
  <c r="C205" i="22"/>
  <c r="X186" i="22"/>
  <c r="C187" i="22"/>
  <c r="C203" i="22"/>
  <c r="X184" i="22"/>
  <c r="X200" i="22"/>
  <c r="C180" i="22"/>
  <c r="X177" i="22"/>
  <c r="X202" i="22"/>
  <c r="T190" i="22"/>
  <c r="T206" i="22"/>
  <c r="R192" i="22"/>
  <c r="R208" i="22"/>
  <c r="K193" i="22"/>
  <c r="K209" i="22"/>
  <c r="D195" i="22"/>
  <c r="C182" i="22"/>
  <c r="X179" i="22"/>
  <c r="X203" i="22"/>
  <c r="T191" i="22"/>
  <c r="T207" i="22"/>
  <c r="R193" i="22"/>
  <c r="R209" i="22"/>
  <c r="K194" i="22"/>
  <c r="D180" i="22"/>
  <c r="D196" i="22"/>
  <c r="C178" i="22"/>
  <c r="X201" i="22"/>
  <c r="T205" i="22"/>
  <c r="R207" i="22"/>
  <c r="K208" i="22"/>
  <c r="C184" i="22"/>
  <c r="X205" i="22"/>
  <c r="T208" i="22"/>
  <c r="K179" i="22"/>
  <c r="D181" i="22"/>
  <c r="C186" i="22"/>
  <c r="X206" i="22"/>
  <c r="T209" i="22"/>
  <c r="K180" i="22"/>
  <c r="D182" i="22"/>
  <c r="C192" i="22"/>
  <c r="D185" i="22"/>
  <c r="K191" i="22"/>
  <c r="R198" i="22"/>
  <c r="X199" i="22"/>
  <c r="D209" i="22"/>
  <c r="T96" i="22"/>
  <c r="T29" i="22"/>
  <c r="X109" i="22"/>
  <c r="X78" i="22"/>
  <c r="X106" i="22"/>
  <c r="T52" i="22"/>
  <c r="X132" i="22"/>
  <c r="X49" i="22"/>
  <c r="T158" i="22"/>
  <c r="T99" i="22"/>
  <c r="X155" i="22"/>
  <c r="X72" i="22"/>
  <c r="T165" i="22"/>
  <c r="T82" i="22"/>
  <c r="C177" i="22"/>
  <c r="C193" i="22"/>
  <c r="C209" i="22"/>
  <c r="C175" i="22"/>
  <c r="C191" i="22"/>
  <c r="C207" i="22"/>
  <c r="X188" i="22"/>
  <c r="X204" i="22"/>
  <c r="C188" i="22"/>
  <c r="X185" i="22"/>
  <c r="X207" i="22"/>
  <c r="T194" i="22"/>
  <c r="R180" i="22"/>
  <c r="R196" i="22"/>
  <c r="K181" i="22"/>
  <c r="K197" i="22"/>
  <c r="D183" i="22"/>
  <c r="D199" i="22"/>
  <c r="C190" i="22"/>
  <c r="X187" i="22"/>
  <c r="X209" i="22"/>
  <c r="T195" i="22"/>
  <c r="R181" i="22"/>
  <c r="R197" i="22"/>
  <c r="K182" i="22"/>
  <c r="K198" i="22"/>
  <c r="D184" i="22"/>
  <c r="D200" i="22"/>
  <c r="C194" i="22"/>
  <c r="T180" i="22"/>
  <c r="R183" i="22"/>
  <c r="K184" i="22"/>
  <c r="D186" i="22"/>
  <c r="C200" i="22"/>
  <c r="T184" i="22"/>
  <c r="R186" i="22"/>
  <c r="K187" i="22"/>
  <c r="D189" i="22"/>
  <c r="C202" i="22"/>
  <c r="T185" i="22"/>
  <c r="R187" i="22"/>
  <c r="K188" i="22"/>
  <c r="D190" i="22"/>
  <c r="T179" i="22"/>
  <c r="C208" i="22"/>
  <c r="D193" i="22"/>
  <c r="K199" i="22"/>
  <c r="T204" i="22"/>
  <c r="X51" i="22"/>
  <c r="T160" i="22"/>
  <c r="T93" i="22"/>
  <c r="X173" i="22"/>
  <c r="T171" i="22"/>
  <c r="X23" i="22"/>
  <c r="T116" i="22"/>
  <c r="T33" i="22"/>
  <c r="X113" i="22"/>
  <c r="X158" i="22"/>
  <c r="T23" i="22"/>
  <c r="T56" i="22"/>
  <c r="X136" i="22"/>
  <c r="X53" i="22"/>
  <c r="T146" i="22"/>
  <c r="X110" i="22"/>
  <c r="T39" i="22"/>
  <c r="T76" i="22"/>
  <c r="X156" i="22"/>
  <c r="X73" i="22"/>
  <c r="T166" i="22"/>
  <c r="X26" i="22"/>
  <c r="T48" i="22"/>
  <c r="X128" i="22"/>
  <c r="X61" i="22"/>
  <c r="T154" i="22"/>
  <c r="T83" i="22"/>
  <c r="X167" i="22"/>
  <c r="X84" i="22"/>
  <c r="T177" i="22"/>
  <c r="T110" i="22"/>
  <c r="X70" i="22"/>
  <c r="X107" i="22"/>
  <c r="X24" i="22"/>
  <c r="T117" i="22"/>
  <c r="T34" i="22"/>
  <c r="X98" i="22"/>
  <c r="X47" i="22"/>
  <c r="T156" i="22"/>
  <c r="T73" i="22"/>
  <c r="X153" i="22"/>
  <c r="T91" i="22"/>
  <c r="T14" i="22"/>
  <c r="T64" i="22"/>
  <c r="X144" i="22"/>
  <c r="X77" i="22"/>
  <c r="T170" i="22"/>
  <c r="T147" i="22"/>
  <c r="T20" i="22"/>
  <c r="X100" i="22"/>
  <c r="X17" i="22"/>
  <c r="T126" i="22"/>
  <c r="X134" i="22"/>
  <c r="X123" i="22"/>
  <c r="X40" i="22"/>
  <c r="T133" i="22"/>
  <c r="T50" i="22"/>
  <c r="X162" i="22"/>
  <c r="X63" i="22"/>
  <c r="T172" i="22"/>
  <c r="T89" i="22"/>
  <c r="X169" i="22"/>
  <c r="T155" i="22"/>
  <c r="D18" i="22"/>
  <c r="T80" i="22"/>
  <c r="X42" i="22"/>
  <c r="T142" i="22"/>
  <c r="T149" i="22"/>
  <c r="X12" i="22"/>
  <c r="K70" i="22"/>
  <c r="D48" i="22"/>
  <c r="D43" i="22"/>
  <c r="K133" i="22"/>
  <c r="C61" i="22"/>
  <c r="K98" i="22"/>
  <c r="D113" i="22"/>
  <c r="D162" i="22"/>
  <c r="R178" i="22"/>
  <c r="K106" i="22"/>
  <c r="D38" i="22"/>
  <c r="K103" i="22"/>
  <c r="D57" i="22"/>
  <c r="D167" i="22"/>
  <c r="D154" i="22"/>
  <c r="R141" i="22"/>
  <c r="R65" i="22"/>
  <c r="D102" i="22"/>
  <c r="C78" i="22"/>
  <c r="D23" i="22"/>
  <c r="C49" i="22"/>
  <c r="K10" i="22"/>
  <c r="R77" i="22"/>
  <c r="R87" i="22"/>
  <c r="K118" i="22"/>
  <c r="K157" i="22"/>
  <c r="D67" i="22"/>
  <c r="D140" i="22"/>
  <c r="R145" i="22"/>
  <c r="D104" i="22"/>
  <c r="D12" i="22"/>
  <c r="R64" i="22"/>
  <c r="K176" i="22"/>
  <c r="C64" i="22"/>
  <c r="C116" i="22"/>
  <c r="C139" i="22"/>
  <c r="D92" i="22"/>
  <c r="K111" i="22"/>
  <c r="C79" i="22"/>
  <c r="K116" i="22"/>
  <c r="K25" i="22"/>
  <c r="D91" i="22"/>
  <c r="X29" i="22"/>
  <c r="R50" i="22"/>
  <c r="T144" i="22"/>
  <c r="T135" i="22"/>
  <c r="X94" i="22"/>
  <c r="X37" i="22"/>
  <c r="X76" i="22"/>
  <c r="C11" i="22"/>
  <c r="C31" i="22"/>
  <c r="K53" i="22"/>
  <c r="D58" i="22"/>
  <c r="D79" i="22"/>
  <c r="R91" i="22"/>
  <c r="D103" i="22"/>
  <c r="C118" i="22"/>
  <c r="C30" i="22"/>
  <c r="C112" i="22"/>
  <c r="D14" i="22"/>
  <c r="C40" i="22"/>
  <c r="C20" i="22"/>
  <c r="D145" i="22"/>
  <c r="K18" i="22"/>
  <c r="D120" i="22"/>
  <c r="R119" i="22"/>
  <c r="C50" i="22"/>
  <c r="R82" i="22"/>
  <c r="K121" i="22"/>
  <c r="C67" i="22"/>
  <c r="K22" i="22"/>
  <c r="R170" i="22"/>
  <c r="C73" i="22"/>
  <c r="R28" i="22"/>
  <c r="K45" i="22"/>
  <c r="K110" i="22"/>
  <c r="X34" i="22"/>
  <c r="X31" i="22"/>
  <c r="T140" i="22"/>
  <c r="T57" i="22"/>
  <c r="X137" i="22"/>
  <c r="T27" i="22"/>
  <c r="T119" i="22"/>
  <c r="T112" i="22"/>
  <c r="T45" i="22"/>
  <c r="X125" i="22"/>
  <c r="X142" i="22"/>
  <c r="X170" i="22"/>
  <c r="T68" i="22"/>
  <c r="X148" i="22"/>
  <c r="X65" i="22"/>
  <c r="T174" i="22"/>
  <c r="T163" i="22"/>
  <c r="X171" i="22"/>
  <c r="X88" i="22"/>
  <c r="T12" i="22"/>
  <c r="T98" i="22"/>
  <c r="X22" i="22"/>
  <c r="X111" i="22"/>
  <c r="X44" i="22"/>
  <c r="T137" i="22"/>
  <c r="T54" i="22"/>
  <c r="T79" i="22"/>
  <c r="X19" i="22"/>
  <c r="T128" i="22"/>
  <c r="T61" i="22"/>
  <c r="X141" i="22"/>
  <c r="T43" i="22"/>
  <c r="T71" i="22"/>
  <c r="T84" i="22"/>
  <c r="X164" i="22"/>
  <c r="X81" i="22"/>
  <c r="X30" i="22"/>
  <c r="X58" i="22"/>
  <c r="T24" i="22"/>
  <c r="X104" i="22"/>
  <c r="X21" i="22"/>
  <c r="T114" i="22"/>
  <c r="X86" i="22"/>
  <c r="X127" i="22"/>
  <c r="X60" i="22"/>
  <c r="T153" i="22"/>
  <c r="T70" i="22"/>
  <c r="T143" i="22"/>
  <c r="R106" i="22"/>
  <c r="X160" i="22"/>
  <c r="T36" i="22"/>
  <c r="T35" i="22"/>
  <c r="T66" i="22"/>
  <c r="T105" i="22"/>
  <c r="C150" i="22"/>
  <c r="K113" i="22"/>
  <c r="D161" i="22"/>
  <c r="R29" i="22"/>
  <c r="R10" i="22"/>
  <c r="C105" i="22"/>
  <c r="K68" i="22"/>
  <c r="K163" i="22"/>
  <c r="K94" i="22"/>
  <c r="K131" i="22"/>
  <c r="R177" i="22"/>
  <c r="C28" i="22"/>
  <c r="D36" i="22"/>
  <c r="C91" i="22"/>
  <c r="K87" i="22"/>
  <c r="K97" i="22"/>
  <c r="C21" i="22"/>
  <c r="D164" i="22"/>
  <c r="R114" i="22"/>
  <c r="C156" i="22"/>
  <c r="T10" i="22"/>
  <c r="D40" i="22"/>
  <c r="C129" i="22"/>
  <c r="C75" i="22"/>
  <c r="K132" i="22"/>
  <c r="R112" i="22"/>
  <c r="C56" i="22"/>
  <c r="K21" i="22"/>
  <c r="R98" i="22"/>
  <c r="C71" i="22"/>
  <c r="C160" i="22"/>
  <c r="K175" i="22"/>
  <c r="D80" i="22"/>
  <c r="K109" i="22"/>
  <c r="R163" i="22"/>
  <c r="K56" i="22"/>
  <c r="D89" i="22"/>
  <c r="C70" i="22"/>
  <c r="C133" i="22"/>
  <c r="D171" i="22"/>
  <c r="C14" i="22"/>
  <c r="D37" i="22"/>
  <c r="K167" i="22"/>
  <c r="K79" i="22"/>
  <c r="T77" i="22"/>
  <c r="T100" i="22"/>
  <c r="X122" i="22"/>
  <c r="T130" i="22"/>
  <c r="T169" i="22"/>
  <c r="K99" i="22"/>
  <c r="K166" i="22"/>
  <c r="C121" i="22"/>
  <c r="D94" i="22"/>
  <c r="R86" i="22"/>
  <c r="C132" i="22"/>
  <c r="R158" i="22"/>
  <c r="R36" i="22"/>
  <c r="K64" i="22"/>
  <c r="D110" i="22"/>
  <c r="C77" i="22"/>
  <c r="D68" i="22"/>
  <c r="R165" i="22"/>
  <c r="K43" i="22"/>
  <c r="D105" i="22"/>
  <c r="R67" i="22"/>
  <c r="C32" i="22"/>
  <c r="R94" i="22"/>
  <c r="R78" i="22"/>
  <c r="C110" i="22"/>
  <c r="C131" i="22"/>
  <c r="R100" i="22"/>
  <c r="R118" i="22"/>
  <c r="D82" i="22"/>
  <c r="C149" i="22"/>
  <c r="R171" i="22"/>
  <c r="K28" i="22"/>
  <c r="T127" i="22"/>
  <c r="X95" i="22"/>
  <c r="X28" i="22"/>
  <c r="T121" i="22"/>
  <c r="T38" i="22"/>
  <c r="X114" i="22"/>
  <c r="X67" i="22"/>
  <c r="T176" i="22"/>
  <c r="T109" i="22"/>
  <c r="T26" i="22"/>
  <c r="X66" i="22"/>
  <c r="X39" i="22"/>
  <c r="T132" i="22"/>
  <c r="T49" i="22"/>
  <c r="X129" i="22"/>
  <c r="T59" i="22"/>
  <c r="T87" i="22"/>
  <c r="T72" i="22"/>
  <c r="X152" i="22"/>
  <c r="X69" i="22"/>
  <c r="T162" i="22"/>
  <c r="T115" i="22"/>
  <c r="T28" i="22"/>
  <c r="X108" i="22"/>
  <c r="X25" i="22"/>
  <c r="T118" i="22"/>
  <c r="X166" i="22"/>
  <c r="X83" i="22"/>
  <c r="X16" i="22"/>
  <c r="T125" i="22"/>
  <c r="T42" i="22"/>
  <c r="X130" i="22"/>
  <c r="X55" i="22"/>
  <c r="T148" i="22"/>
  <c r="T65" i="22"/>
  <c r="X145" i="22"/>
  <c r="T123" i="22"/>
  <c r="T151" i="22"/>
  <c r="T88" i="22"/>
  <c r="X168" i="22"/>
  <c r="X85" i="22"/>
  <c r="T178" i="22"/>
  <c r="X74" i="22"/>
  <c r="T44" i="22"/>
  <c r="X124" i="22"/>
  <c r="X41" i="22"/>
  <c r="T134" i="22"/>
  <c r="T67" i="22"/>
  <c r="K142" i="22"/>
  <c r="X93" i="22"/>
  <c r="X116" i="22"/>
  <c r="X139" i="22"/>
  <c r="T63" i="22"/>
  <c r="T22" i="22"/>
  <c r="C113" i="22"/>
  <c r="D177" i="22"/>
  <c r="K76" i="22"/>
  <c r="R115" i="22"/>
  <c r="K126" i="22"/>
  <c r="C94" i="22"/>
  <c r="C143" i="22"/>
  <c r="K30" i="22"/>
  <c r="K141" i="22"/>
  <c r="R168" i="22"/>
  <c r="D78" i="22"/>
  <c r="K66" i="22"/>
  <c r="K63" i="22"/>
  <c r="C62" i="22"/>
  <c r="D62" i="22"/>
  <c r="K160" i="22"/>
  <c r="C161" i="22"/>
  <c r="R44" i="22"/>
  <c r="D125" i="22"/>
  <c r="D99" i="22"/>
  <c r="D143" i="22"/>
  <c r="C22" i="22"/>
  <c r="D134" i="22"/>
  <c r="C65" i="22"/>
  <c r="D96" i="22"/>
  <c r="D84" i="22"/>
  <c r="C155" i="22"/>
  <c r="D27" i="22"/>
  <c r="K51" i="22"/>
  <c r="K42" i="22"/>
  <c r="K15" i="22"/>
  <c r="D142" i="22"/>
  <c r="K161" i="22"/>
  <c r="C36" i="22"/>
  <c r="C33" i="22"/>
  <c r="D129" i="22"/>
  <c r="R47" i="22"/>
  <c r="K156" i="22"/>
  <c r="C26" i="22"/>
  <c r="D64" i="22"/>
  <c r="R102" i="22"/>
  <c r="D124" i="22"/>
  <c r="K48" i="22"/>
  <c r="K150" i="22"/>
  <c r="X157" i="22"/>
  <c r="T17" i="22"/>
  <c r="T40" i="22"/>
  <c r="X150" i="22"/>
  <c r="T86" i="22"/>
  <c r="R103" i="22"/>
  <c r="D65" i="22"/>
  <c r="K115" i="22"/>
  <c r="D153" i="22"/>
  <c r="R179" i="22"/>
  <c r="K89" i="22"/>
  <c r="C72" i="22"/>
  <c r="K148" i="22"/>
  <c r="R33" i="22"/>
  <c r="R107" i="22"/>
  <c r="R61" i="22"/>
  <c r="K46" i="22"/>
  <c r="C25" i="22"/>
  <c r="C37" i="22"/>
  <c r="R42" i="22"/>
  <c r="D141" i="22"/>
  <c r="K117" i="22"/>
  <c r="D54" i="22"/>
  <c r="R167" i="22"/>
  <c r="K65" i="22"/>
  <c r="K33" i="22"/>
  <c r="C103" i="22"/>
  <c r="D32" i="22"/>
  <c r="K14" i="22"/>
  <c r="D33" i="22"/>
  <c r="C119" i="22"/>
  <c r="R144" i="22"/>
  <c r="R39" i="22"/>
  <c r="C174" i="22"/>
  <c r="D160" i="22"/>
  <c r="C60" i="22"/>
  <c r="K162" i="22"/>
  <c r="K158" i="22"/>
  <c r="D138" i="22"/>
  <c r="C159" i="22"/>
  <c r="R164" i="22"/>
  <c r="R92" i="22"/>
  <c r="R101" i="22"/>
  <c r="R104" i="22"/>
  <c r="R35" i="22"/>
  <c r="C115" i="22"/>
  <c r="D50" i="22"/>
  <c r="X118" i="22"/>
  <c r="T85" i="22"/>
  <c r="T55" i="22"/>
  <c r="D86" i="22"/>
  <c r="X32" i="22"/>
  <c r="X71" i="22"/>
  <c r="X18" i="22"/>
  <c r="X101" i="22"/>
  <c r="X140" i="22"/>
  <c r="D56" i="22"/>
  <c r="C147" i="22"/>
  <c r="K178" i="22"/>
  <c r="C142" i="22"/>
  <c r="K44" i="22"/>
  <c r="D30" i="22"/>
  <c r="C84" i="22"/>
  <c r="R146" i="22"/>
  <c r="R84" i="22"/>
  <c r="D148" i="22"/>
  <c r="D116" i="22"/>
  <c r="R172" i="22"/>
  <c r="R88" i="22"/>
  <c r="K173" i="22"/>
  <c r="K124" i="22"/>
  <c r="R18" i="22"/>
  <c r="T51" i="22"/>
  <c r="X159" i="22"/>
  <c r="X92" i="22"/>
  <c r="T16" i="22"/>
  <c r="T102" i="22"/>
  <c r="X102" i="22"/>
  <c r="X131" i="22"/>
  <c r="X64" i="22"/>
  <c r="T173" i="22"/>
  <c r="T90" i="22"/>
  <c r="T159" i="22"/>
  <c r="X103" i="22"/>
  <c r="X20" i="22"/>
  <c r="T113" i="22"/>
  <c r="T46" i="22"/>
  <c r="X146" i="22"/>
  <c r="X43" i="22"/>
  <c r="T136" i="22"/>
  <c r="T53" i="22"/>
  <c r="X133" i="22"/>
  <c r="X174" i="22"/>
  <c r="T103" i="22"/>
  <c r="T92" i="22"/>
  <c r="X172" i="22"/>
  <c r="X89" i="22"/>
  <c r="T13" i="22"/>
  <c r="X90" i="22"/>
  <c r="X147" i="22"/>
  <c r="X80" i="22"/>
  <c r="X13" i="22"/>
  <c r="T106" i="22"/>
  <c r="X54" i="22"/>
  <c r="X119" i="22"/>
  <c r="X36" i="22"/>
  <c r="T129" i="22"/>
  <c r="T62" i="22"/>
  <c r="T47" i="22"/>
  <c r="X59" i="22"/>
  <c r="T152" i="22"/>
  <c r="T69" i="22"/>
  <c r="X149" i="22"/>
  <c r="T75" i="22"/>
  <c r="T167" i="22"/>
  <c r="T108" i="22"/>
  <c r="T25" i="22"/>
  <c r="X105" i="22"/>
  <c r="X62" i="22"/>
  <c r="X154" i="22"/>
  <c r="R116" i="22"/>
  <c r="X14" i="22"/>
  <c r="X33" i="22"/>
  <c r="X56" i="22"/>
  <c r="X79" i="22"/>
  <c r="X50" i="22"/>
  <c r="R16" i="22"/>
  <c r="D49" i="22"/>
  <c r="D20" i="22"/>
  <c r="C55" i="22"/>
  <c r="D87" i="22"/>
  <c r="R138" i="22"/>
  <c r="R125" i="22"/>
  <c r="K96" i="22"/>
  <c r="R126" i="22"/>
  <c r="C158" i="22"/>
  <c r="R71" i="22"/>
  <c r="C169" i="22"/>
  <c r="K145" i="22"/>
  <c r="C148" i="22"/>
  <c r="D55" i="22"/>
  <c r="R133" i="22"/>
  <c r="C136" i="22"/>
  <c r="C23" i="22"/>
  <c r="D100" i="22"/>
  <c r="D144" i="22"/>
  <c r="K177" i="22"/>
  <c r="C170" i="22"/>
  <c r="D137" i="22"/>
  <c r="K154" i="22"/>
  <c r="K31" i="22"/>
  <c r="K61" i="22"/>
  <c r="C76" i="22"/>
  <c r="R60" i="22"/>
  <c r="R70" i="22"/>
  <c r="R161" i="22"/>
  <c r="K34" i="22"/>
  <c r="R80" i="22"/>
  <c r="K95" i="22"/>
  <c r="C83" i="22"/>
  <c r="R169" i="22"/>
  <c r="K108" i="22"/>
  <c r="R49" i="22"/>
  <c r="K13" i="22"/>
  <c r="R113" i="22"/>
  <c r="R173" i="22"/>
  <c r="D179" i="22"/>
  <c r="D112" i="22"/>
  <c r="R56" i="22"/>
  <c r="X35" i="22"/>
  <c r="T107" i="22"/>
  <c r="X97" i="22"/>
  <c r="X120" i="22"/>
  <c r="X143" i="22"/>
  <c r="X38" i="22"/>
  <c r="K62" i="22"/>
  <c r="R25" i="22"/>
  <c r="R54" i="22"/>
  <c r="K101" i="22"/>
  <c r="C152" i="22"/>
  <c r="R14" i="22"/>
  <c r="R136" i="22"/>
  <c r="K119" i="22"/>
  <c r="C124" i="22"/>
  <c r="R38" i="22"/>
  <c r="D119" i="22"/>
  <c r="C58" i="22"/>
  <c r="K47" i="22"/>
  <c r="K137" i="22"/>
  <c r="K169" i="22"/>
  <c r="D130" i="22"/>
  <c r="C138" i="22"/>
  <c r="C128" i="22"/>
  <c r="R40" i="22"/>
  <c r="K36" i="22"/>
  <c r="R74" i="22"/>
  <c r="R122" i="22"/>
  <c r="C34" i="22"/>
  <c r="C168" i="22"/>
  <c r="R48" i="22"/>
  <c r="R96" i="22"/>
  <c r="X10" i="22"/>
  <c r="C43" i="22"/>
  <c r="C95" i="22"/>
  <c r="C74" i="22"/>
  <c r="R63" i="22"/>
  <c r="K152" i="22"/>
  <c r="D173" i="22"/>
  <c r="R174" i="22"/>
  <c r="D46" i="22"/>
  <c r="C130" i="22"/>
  <c r="C19" i="22"/>
  <c r="C41" i="22"/>
  <c r="D76" i="22"/>
  <c r="D63" i="22"/>
  <c r="K11" i="22"/>
  <c r="K19" i="22"/>
  <c r="X52" i="22"/>
  <c r="T139" i="22"/>
  <c r="C108" i="22"/>
  <c r="R108" i="22"/>
  <c r="T141" i="22"/>
  <c r="T164" i="22"/>
  <c r="X11" i="22"/>
  <c r="X46" i="22"/>
  <c r="X57" i="22"/>
  <c r="K57" i="22"/>
  <c r="R150" i="22"/>
  <c r="D168" i="22"/>
  <c r="D176" i="22"/>
  <c r="D98" i="22"/>
  <c r="R142" i="22"/>
  <c r="C172" i="22"/>
  <c r="C46" i="22"/>
  <c r="D109" i="22"/>
  <c r="R22" i="22"/>
  <c r="C145" i="22"/>
  <c r="D118" i="22"/>
  <c r="R24" i="22"/>
  <c r="C101" i="22"/>
  <c r="D45" i="22"/>
  <c r="R81" i="22"/>
  <c r="R23" i="22"/>
  <c r="C137" i="22"/>
  <c r="D114" i="22"/>
  <c r="R137" i="22"/>
  <c r="K86" i="22"/>
  <c r="D135" i="22"/>
  <c r="C15" i="22"/>
  <c r="D122" i="22"/>
  <c r="T78" i="22"/>
  <c r="C165" i="22"/>
  <c r="T58" i="22"/>
  <c r="T104" i="22"/>
  <c r="T150" i="22"/>
  <c r="R53" i="22"/>
  <c r="D139" i="22"/>
  <c r="C63" i="22"/>
  <c r="C171" i="22"/>
  <c r="K80" i="22"/>
  <c r="D26" i="22"/>
  <c r="C100" i="22"/>
  <c r="C52" i="22"/>
  <c r="K144" i="22"/>
  <c r="C47" i="22"/>
  <c r="D172" i="22"/>
  <c r="C104" i="22"/>
  <c r="D97" i="22"/>
  <c r="C69" i="22"/>
  <c r="D59" i="22"/>
  <c r="K83" i="22"/>
  <c r="K54" i="22"/>
  <c r="C166" i="22"/>
  <c r="K147" i="22"/>
  <c r="R128" i="22"/>
  <c r="K134" i="22"/>
  <c r="C144" i="22"/>
  <c r="K90" i="22"/>
  <c r="K120" i="22"/>
  <c r="C82" i="22"/>
  <c r="R99" i="22"/>
  <c r="C141" i="22"/>
  <c r="D42" i="22"/>
  <c r="K114" i="22"/>
  <c r="K69" i="22"/>
  <c r="K49" i="22"/>
  <c r="C135" i="22"/>
  <c r="D61" i="22"/>
  <c r="D44" i="22"/>
  <c r="T145" i="22"/>
  <c r="X15" i="22"/>
  <c r="C38" i="22"/>
  <c r="R95" i="22"/>
  <c r="K143" i="22"/>
  <c r="R11" i="22"/>
  <c r="D126" i="22"/>
  <c r="R31" i="22"/>
  <c r="C167" i="22"/>
  <c r="C48" i="22"/>
  <c r="D169" i="22"/>
  <c r="K37" i="22"/>
  <c r="R129" i="22"/>
  <c r="R166" i="22"/>
  <c r="R58" i="22"/>
  <c r="R72" i="22"/>
  <c r="C87" i="22"/>
  <c r="D127" i="22"/>
  <c r="K84" i="22"/>
  <c r="D131" i="22"/>
  <c r="R130" i="22"/>
  <c r="D29" i="22"/>
  <c r="K91" i="22"/>
  <c r="K168" i="22"/>
  <c r="K102" i="22"/>
  <c r="K104" i="22"/>
  <c r="R59" i="22"/>
  <c r="D155" i="22"/>
  <c r="D128" i="22"/>
  <c r="C86" i="22"/>
  <c r="K81" i="22"/>
  <c r="K151" i="22"/>
  <c r="C127" i="22"/>
  <c r="C106" i="22"/>
  <c r="D85" i="22"/>
  <c r="D39" i="22"/>
  <c r="C51" i="22"/>
  <c r="R176" i="22"/>
  <c r="R90" i="22"/>
  <c r="D35" i="22"/>
  <c r="D159" i="22"/>
  <c r="K23" i="22"/>
  <c r="R120" i="22"/>
  <c r="C157" i="22"/>
  <c r="D66" i="22"/>
  <c r="R151" i="22"/>
  <c r="C122" i="22"/>
  <c r="D11" i="22"/>
  <c r="C12" i="22"/>
  <c r="X75" i="22"/>
  <c r="K88" i="22"/>
  <c r="T31" i="22"/>
  <c r="T21" i="22"/>
  <c r="T131" i="22"/>
  <c r="C134" i="22"/>
  <c r="D165" i="22"/>
  <c r="D90" i="22"/>
  <c r="R140" i="22"/>
  <c r="K127" i="22"/>
  <c r="K35" i="22"/>
  <c r="R143" i="22"/>
  <c r="R159" i="22"/>
  <c r="R43" i="22"/>
  <c r="K27" i="22"/>
  <c r="K59" i="22"/>
  <c r="C24" i="22"/>
  <c r="C164" i="22"/>
  <c r="K71" i="22"/>
  <c r="D108" i="22"/>
  <c r="D70" i="22"/>
  <c r="D71" i="22"/>
  <c r="D69" i="22"/>
  <c r="R134" i="22"/>
  <c r="K73" i="22"/>
  <c r="C163" i="22"/>
  <c r="R75" i="22"/>
  <c r="R46" i="22"/>
  <c r="R135" i="22"/>
  <c r="K16" i="22"/>
  <c r="D117" i="22"/>
  <c r="C81" i="22"/>
  <c r="D77" i="22"/>
  <c r="C35" i="22"/>
  <c r="C173" i="22"/>
  <c r="D41" i="22"/>
  <c r="C92" i="22"/>
  <c r="C96" i="22"/>
  <c r="X163" i="22"/>
  <c r="T111" i="22"/>
  <c r="T41" i="22"/>
  <c r="D73" i="22"/>
  <c r="D60" i="22"/>
  <c r="D175" i="22"/>
  <c r="R123" i="22"/>
  <c r="D95" i="22"/>
  <c r="R66" i="22"/>
  <c r="R12" i="22"/>
  <c r="C125" i="22"/>
  <c r="D152" i="22"/>
  <c r="C98" i="22"/>
  <c r="R79" i="22"/>
  <c r="R160" i="22"/>
  <c r="K74" i="22"/>
  <c r="D166" i="22"/>
  <c r="K77" i="22"/>
  <c r="K123" i="22"/>
  <c r="D107" i="22"/>
  <c r="K82" i="22"/>
  <c r="C54" i="22"/>
  <c r="C42" i="22"/>
  <c r="C39" i="22"/>
  <c r="K170" i="22"/>
  <c r="K17" i="22"/>
  <c r="K125" i="22"/>
  <c r="D22" i="22"/>
  <c r="C45" i="22"/>
  <c r="K55" i="22"/>
  <c r="C107" i="22"/>
  <c r="K105" i="22"/>
  <c r="K32" i="22"/>
  <c r="C53" i="22"/>
  <c r="D52" i="22"/>
  <c r="R148" i="22"/>
  <c r="R76" i="22"/>
  <c r="D123" i="22"/>
  <c r="R62" i="22"/>
  <c r="K72" i="22"/>
  <c r="D136" i="22"/>
  <c r="K129" i="22"/>
  <c r="D156" i="22"/>
  <c r="D151" i="22"/>
  <c r="K40" i="22"/>
  <c r="C99" i="22"/>
  <c r="D146" i="22"/>
  <c r="D170" i="22"/>
  <c r="R139" i="22"/>
  <c r="R26" i="22"/>
  <c r="T124" i="22"/>
  <c r="D10" i="22"/>
  <c r="T81" i="22"/>
  <c r="X138" i="22"/>
  <c r="C111" i="22"/>
  <c r="R127" i="22"/>
  <c r="D83" i="22"/>
  <c r="R21" i="22"/>
  <c r="C90" i="22"/>
  <c r="K140" i="22"/>
  <c r="C117" i="22"/>
  <c r="K12" i="22"/>
  <c r="C13" i="22"/>
  <c r="C27" i="22"/>
  <c r="K58" i="22"/>
  <c r="R156" i="22"/>
  <c r="R132" i="22"/>
  <c r="D75" i="22"/>
  <c r="C10" i="22"/>
  <c r="K20" i="22"/>
  <c r="C16" i="22"/>
  <c r="D17" i="22"/>
  <c r="C162" i="22"/>
  <c r="K172" i="22"/>
  <c r="R52" i="22"/>
  <c r="D21" i="22"/>
  <c r="R34" i="22"/>
  <c r="C109" i="22"/>
  <c r="R97" i="22"/>
  <c r="K24" i="22"/>
  <c r="C146" i="22"/>
  <c r="R17" i="22"/>
  <c r="R57" i="22"/>
  <c r="K78" i="22"/>
  <c r="C97" i="22"/>
  <c r="D16" i="22"/>
  <c r="K50" i="22"/>
  <c r="R37" i="22"/>
  <c r="T122" i="22"/>
  <c r="T168" i="22"/>
  <c r="X126" i="22"/>
  <c r="D19" i="22"/>
  <c r="R153" i="22"/>
  <c r="K52" i="22"/>
  <c r="C154" i="22"/>
  <c r="R41" i="22"/>
  <c r="K128" i="22"/>
  <c r="R73" i="22"/>
  <c r="K174" i="22"/>
  <c r="D174" i="22"/>
  <c r="R152" i="22"/>
  <c r="R85" i="22"/>
  <c r="K155" i="22"/>
  <c r="R27" i="22"/>
  <c r="D149" i="22"/>
  <c r="K107" i="22"/>
  <c r="K92" i="22"/>
  <c r="C93" i="22"/>
  <c r="C18" i="22"/>
  <c r="R83" i="22"/>
  <c r="C151" i="22"/>
  <c r="K39" i="22"/>
  <c r="K135" i="22"/>
  <c r="D25" i="22"/>
  <c r="R45" i="22"/>
  <c r="C17" i="22"/>
  <c r="C102" i="22"/>
  <c r="D72" i="22"/>
  <c r="D106" i="22"/>
  <c r="R15" i="22"/>
  <c r="C29" i="22"/>
  <c r="D47" i="22"/>
  <c r="R69" i="22"/>
  <c r="K122" i="22"/>
  <c r="R124" i="22"/>
  <c r="K85" i="22"/>
  <c r="R149" i="22"/>
  <c r="C120" i="22"/>
  <c r="D158" i="22"/>
  <c r="C88" i="22"/>
  <c r="R117" i="22"/>
  <c r="D121" i="22"/>
  <c r="R121" i="22"/>
  <c r="D150" i="22"/>
  <c r="R13" i="22"/>
  <c r="C153" i="22"/>
  <c r="R93" i="22"/>
  <c r="X96" i="22"/>
  <c r="X121" i="22"/>
  <c r="X99" i="22"/>
  <c r="X161" i="22"/>
  <c r="T60" i="22"/>
  <c r="C68" i="22"/>
  <c r="R89" i="22"/>
  <c r="D111" i="22"/>
  <c r="D24" i="22"/>
  <c r="C57" i="22"/>
  <c r="R111" i="22"/>
  <c r="R68" i="22"/>
  <c r="D147" i="22"/>
  <c r="C89" i="22"/>
  <c r="R105" i="22"/>
  <c r="R109" i="22"/>
  <c r="R131" i="22"/>
  <c r="D93" i="22"/>
  <c r="R30" i="22"/>
  <c r="R110" i="22"/>
  <c r="K153" i="22"/>
  <c r="D28" i="22"/>
  <c r="C59" i="22"/>
  <c r="D157" i="22"/>
  <c r="C126" i="22"/>
  <c r="R32" i="22"/>
  <c r="K75" i="22"/>
  <c r="R20" i="22"/>
  <c r="K26" i="22"/>
  <c r="D88" i="22"/>
  <c r="K146" i="22"/>
  <c r="K136" i="22"/>
  <c r="C123" i="22"/>
  <c r="K138" i="22"/>
  <c r="K112" i="22"/>
  <c r="C85" i="22"/>
  <c r="R19" i="22"/>
  <c r="D53" i="22"/>
  <c r="R175" i="22"/>
  <c r="X135" i="22"/>
  <c r="X165" i="22"/>
  <c r="D101" i="22"/>
  <c r="C80" i="22"/>
  <c r="K41" i="22"/>
  <c r="D74" i="22"/>
  <c r="K130" i="22"/>
  <c r="D81" i="22"/>
  <c r="R162" i="22"/>
  <c r="K139" i="22"/>
  <c r="D178" i="22"/>
  <c r="K38" i="22"/>
  <c r="R157" i="22"/>
  <c r="C44" i="22"/>
  <c r="D34" i="22"/>
  <c r="K67" i="22"/>
  <c r="R154" i="22"/>
  <c r="D133" i="22"/>
  <c r="K165" i="22"/>
  <c r="K29" i="22"/>
  <c r="K159" i="22"/>
  <c r="C114" i="22"/>
  <c r="R147" i="22"/>
  <c r="D163" i="22"/>
  <c r="R155" i="22"/>
  <c r="R55" i="22"/>
  <c r="D115" i="22"/>
  <c r="K100" i="22"/>
  <c r="K93" i="22"/>
  <c r="K164" i="22"/>
  <c r="R51" i="22"/>
  <c r="C140" i="22"/>
  <c r="C66" i="22"/>
  <c r="D31" i="22"/>
  <c r="K60" i="22"/>
  <c r="D132" i="22"/>
  <c r="D51" i="22"/>
  <c r="D13" i="22"/>
  <c r="D15" i="22"/>
  <c r="K171" i="22"/>
  <c r="K149" i="22"/>
  <c r="AC209" i="14"/>
  <c r="D209" i="18" s="1"/>
  <c r="D204" i="14"/>
  <c r="R200" i="14"/>
  <c r="S207" i="14"/>
  <c r="W205" i="14"/>
  <c r="AB206" i="14"/>
  <c r="C206" i="18" s="1"/>
  <c r="D201" i="14"/>
  <c r="K207" i="14"/>
  <c r="S204" i="14"/>
  <c r="W202" i="14"/>
  <c r="AC204" i="14"/>
  <c r="D204" i="18" s="1"/>
  <c r="C207" i="14"/>
  <c r="B207" i="18" s="1"/>
  <c r="K204" i="14"/>
  <c r="S201" i="14"/>
  <c r="T208" i="14"/>
  <c r="AB203" i="14"/>
  <c r="C203" i="18" s="1"/>
  <c r="C208" i="14"/>
  <c r="B208" i="18" s="1"/>
  <c r="K205" i="14"/>
  <c r="S202" i="14"/>
  <c r="W200" i="14"/>
  <c r="AC203" i="14"/>
  <c r="D203" i="18" s="1"/>
  <c r="C201" i="14"/>
  <c r="B201" i="18" s="1"/>
  <c r="D208" i="14"/>
  <c r="R204" i="14"/>
  <c r="T202" i="14"/>
  <c r="AB200" i="14"/>
  <c r="C200" i="18" s="1"/>
  <c r="AB208" i="14"/>
  <c r="C208" i="18" s="1"/>
  <c r="D205" i="14"/>
  <c r="R201" i="14"/>
  <c r="S208" i="14"/>
  <c r="W206" i="14"/>
  <c r="AC206" i="14"/>
  <c r="D206" i="18" s="1"/>
  <c r="D202" i="14"/>
  <c r="K208" i="14"/>
  <c r="S205" i="14"/>
  <c r="W203" i="14"/>
  <c r="AB205" i="14"/>
  <c r="C205" i="18" s="1"/>
  <c r="D203" i="14"/>
  <c r="K209" i="14"/>
  <c r="S206" i="14"/>
  <c r="W204" i="14"/>
  <c r="AC205" i="14"/>
  <c r="D205" i="18" s="1"/>
  <c r="C205" i="14"/>
  <c r="B205" i="18" s="1"/>
  <c r="K202" i="14"/>
  <c r="R208" i="14"/>
  <c r="T206" i="14"/>
  <c r="AB202" i="14"/>
  <c r="C202" i="18" s="1"/>
  <c r="C202" i="14"/>
  <c r="B202" i="18" s="1"/>
  <c r="D209" i="14"/>
  <c r="R205" i="14"/>
  <c r="T203" i="14"/>
  <c r="AC200" i="14"/>
  <c r="D200" i="18" s="1"/>
  <c r="AC208" i="14"/>
  <c r="D208" i="18" s="1"/>
  <c r="D206" i="14"/>
  <c r="R202" i="14"/>
  <c r="T200" i="14"/>
  <c r="W207" i="14"/>
  <c r="AB207" i="14"/>
  <c r="C207" i="18" s="1"/>
  <c r="D207" i="14"/>
  <c r="R203" i="14"/>
  <c r="T201" i="14"/>
  <c r="W208" i="14"/>
  <c r="AC207" i="14"/>
  <c r="D207" i="18" s="1"/>
  <c r="C209" i="14"/>
  <c r="B209" i="18" s="1"/>
  <c r="K206" i="14"/>
  <c r="S203" i="14"/>
  <c r="W201" i="14"/>
  <c r="AB204" i="14"/>
  <c r="C204" i="18" s="1"/>
  <c r="C206" i="14"/>
  <c r="B206" i="18" s="1"/>
  <c r="K203" i="14"/>
  <c r="S200" i="14"/>
  <c r="T207" i="14"/>
  <c r="AC202" i="14"/>
  <c r="D202" i="18" s="1"/>
  <c r="C203" i="14"/>
  <c r="B203" i="18" s="1"/>
  <c r="K200" i="14"/>
  <c r="R206" i="14"/>
  <c r="T204" i="14"/>
  <c r="AB201" i="14"/>
  <c r="C201" i="18" s="1"/>
  <c r="C204" i="14"/>
  <c r="B204" i="18" s="1"/>
  <c r="K201" i="14"/>
  <c r="R207" i="14"/>
  <c r="T205" i="14"/>
  <c r="AC201" i="14"/>
  <c r="D201" i="18" s="1"/>
  <c r="R209" i="14"/>
  <c r="S187" i="14"/>
  <c r="R177" i="14"/>
  <c r="R193" i="14"/>
  <c r="K177" i="14"/>
  <c r="K193" i="14"/>
  <c r="W209" i="14"/>
  <c r="S188" i="14"/>
  <c r="R182" i="14"/>
  <c r="R198" i="14"/>
  <c r="S185" i="14"/>
  <c r="R175" i="14"/>
  <c r="R191" i="14"/>
  <c r="K175" i="14"/>
  <c r="K191" i="14"/>
  <c r="D181" i="14"/>
  <c r="C176" i="14"/>
  <c r="B176" i="18" s="1"/>
  <c r="D180" i="14"/>
  <c r="D197" i="14"/>
  <c r="C193" i="14"/>
  <c r="B193" i="18" s="1"/>
  <c r="AC178" i="14"/>
  <c r="D178" i="18" s="1"/>
  <c r="AC186" i="14"/>
  <c r="D186" i="18" s="1"/>
  <c r="AC194" i="14"/>
  <c r="D194" i="18" s="1"/>
  <c r="T182" i="14"/>
  <c r="T198" i="14"/>
  <c r="W188" i="14"/>
  <c r="S178" i="14"/>
  <c r="C178" i="14"/>
  <c r="B178" i="18" s="1"/>
  <c r="D182" i="14"/>
  <c r="D198" i="14"/>
  <c r="C194" i="14"/>
  <c r="B194" i="18" s="1"/>
  <c r="AB179" i="14"/>
  <c r="C179" i="18" s="1"/>
  <c r="AB187" i="14"/>
  <c r="C187" i="18" s="1"/>
  <c r="AB195" i="14"/>
  <c r="C195" i="18" s="1"/>
  <c r="T179" i="14"/>
  <c r="T195" i="14"/>
  <c r="W185" i="14"/>
  <c r="S182" i="14"/>
  <c r="K182" i="14"/>
  <c r="D183" i="14"/>
  <c r="D199" i="14"/>
  <c r="C195" i="14"/>
  <c r="B195" i="18" s="1"/>
  <c r="AC179" i="14"/>
  <c r="D179" i="18" s="1"/>
  <c r="S175" i="14"/>
  <c r="S191" i="14"/>
  <c r="R181" i="14"/>
  <c r="R197" i="14"/>
  <c r="K181" i="14"/>
  <c r="K197" i="14"/>
  <c r="S176" i="14"/>
  <c r="S192" i="14"/>
  <c r="R186" i="14"/>
  <c r="T209" i="14"/>
  <c r="S189" i="14"/>
  <c r="R179" i="14"/>
  <c r="R195" i="14"/>
  <c r="K179" i="14"/>
  <c r="K195" i="14"/>
  <c r="S190" i="14"/>
  <c r="K178" i="14"/>
  <c r="D185" i="14"/>
  <c r="C181" i="14"/>
  <c r="B181" i="18" s="1"/>
  <c r="C197" i="14"/>
  <c r="B197" i="18" s="1"/>
  <c r="AC180" i="14"/>
  <c r="D180" i="18" s="1"/>
  <c r="AC188" i="14"/>
  <c r="D188" i="18" s="1"/>
  <c r="AC196" i="14"/>
  <c r="D196" i="18" s="1"/>
  <c r="T186" i="14"/>
  <c r="W176" i="14"/>
  <c r="W192" i="14"/>
  <c r="S194" i="14"/>
  <c r="K180" i="14"/>
  <c r="D186" i="14"/>
  <c r="C182" i="14"/>
  <c r="B182" i="18" s="1"/>
  <c r="C198" i="14"/>
  <c r="B198" i="18" s="1"/>
  <c r="AB181" i="14"/>
  <c r="C181" i="18" s="1"/>
  <c r="AB189" i="14"/>
  <c r="C189" i="18" s="1"/>
  <c r="AB197" i="14"/>
  <c r="C197" i="18" s="1"/>
  <c r="T183" i="14"/>
  <c r="T199" i="14"/>
  <c r="W189" i="14"/>
  <c r="S198" i="14"/>
  <c r="K190" i="14"/>
  <c r="D187" i="14"/>
  <c r="C183" i="14"/>
  <c r="B183" i="18" s="1"/>
  <c r="C199" i="14"/>
  <c r="B199" i="18" s="1"/>
  <c r="AC181" i="14"/>
  <c r="D181" i="18" s="1"/>
  <c r="S179" i="14"/>
  <c r="S195" i="14"/>
  <c r="R185" i="14"/>
  <c r="C175" i="14"/>
  <c r="B175" i="18" s="1"/>
  <c r="K185" i="14"/>
  <c r="D175" i="14"/>
  <c r="S180" i="14"/>
  <c r="S196" i="14"/>
  <c r="R190" i="14"/>
  <c r="S177" i="14"/>
  <c r="S193" i="14"/>
  <c r="R183" i="14"/>
  <c r="R199" i="14"/>
  <c r="K183" i="14"/>
  <c r="K199" i="14"/>
  <c r="R176" i="14"/>
  <c r="K186" i="14"/>
  <c r="D189" i="14"/>
  <c r="C185" i="14"/>
  <c r="B185" i="18" s="1"/>
  <c r="D174" i="14"/>
  <c r="AC182" i="14"/>
  <c r="D182" i="18" s="1"/>
  <c r="AC190" i="14"/>
  <c r="D190" i="18" s="1"/>
  <c r="AC198" i="14"/>
  <c r="D198" i="18" s="1"/>
  <c r="T190" i="14"/>
  <c r="W180" i="14"/>
  <c r="W196" i="14"/>
  <c r="R180" i="14"/>
  <c r="K188" i="14"/>
  <c r="D190" i="14"/>
  <c r="C186" i="14"/>
  <c r="B186" i="18" s="1"/>
  <c r="AB175" i="14"/>
  <c r="C175" i="18" s="1"/>
  <c r="AB183" i="14"/>
  <c r="C183" i="18" s="1"/>
  <c r="AB191" i="14"/>
  <c r="C191" i="18" s="1"/>
  <c r="AB199" i="14"/>
  <c r="C199" i="18" s="1"/>
  <c r="T187" i="14"/>
  <c r="W177" i="14"/>
  <c r="W193" i="14"/>
  <c r="R184" i="14"/>
  <c r="K198" i="14"/>
  <c r="D191" i="14"/>
  <c r="C187" i="14"/>
  <c r="B187" i="18" s="1"/>
  <c r="AC175" i="14"/>
  <c r="D175" i="18" s="1"/>
  <c r="E175" i="18" s="1"/>
  <c r="AC183" i="14"/>
  <c r="D183" i="18" s="1"/>
  <c r="AC191" i="14"/>
  <c r="D191" i="18" s="1"/>
  <c r="AC199" i="14"/>
  <c r="D199" i="18" s="1"/>
  <c r="T188" i="14"/>
  <c r="W182" i="14"/>
  <c r="W198" i="14"/>
  <c r="D196" i="14"/>
  <c r="AB198" i="14"/>
  <c r="C198" i="18" s="1"/>
  <c r="W195" i="14"/>
  <c r="C192" i="14"/>
  <c r="B192" i="18" s="1"/>
  <c r="T181" i="14"/>
  <c r="C184" i="14"/>
  <c r="B184" i="18" s="1"/>
  <c r="W191" i="14"/>
  <c r="D188" i="14"/>
  <c r="AB194" i="14"/>
  <c r="C194" i="18" s="1"/>
  <c r="C200" i="14"/>
  <c r="B200" i="18" s="1"/>
  <c r="C147" i="14"/>
  <c r="B147" i="18" s="1"/>
  <c r="C117" i="14"/>
  <c r="B117" i="18" s="1"/>
  <c r="C87" i="14"/>
  <c r="B87" i="18" s="1"/>
  <c r="C57" i="14"/>
  <c r="B57" i="18" s="1"/>
  <c r="C43" i="14"/>
  <c r="B43" i="18" s="1"/>
  <c r="C156" i="14"/>
  <c r="B156" i="18" s="1"/>
  <c r="C126" i="14"/>
  <c r="B126" i="18" s="1"/>
  <c r="C112" i="14"/>
  <c r="B112" i="18" s="1"/>
  <c r="C170" i="14"/>
  <c r="B170" i="18" s="1"/>
  <c r="AC50" i="14"/>
  <c r="D50" i="18" s="1"/>
  <c r="AC131" i="14"/>
  <c r="D131" i="18" s="1"/>
  <c r="AC52" i="14"/>
  <c r="D52" i="18" s="1"/>
  <c r="W148" i="14"/>
  <c r="W96" i="14"/>
  <c r="T24" i="14"/>
  <c r="AB139" i="14"/>
  <c r="C139" i="18" s="1"/>
  <c r="AB68" i="14"/>
  <c r="C68" i="18" s="1"/>
  <c r="T158" i="14"/>
  <c r="AC156" i="14"/>
  <c r="D156" i="18" s="1"/>
  <c r="AC87" i="14"/>
  <c r="D87" i="18" s="1"/>
  <c r="W141" i="14"/>
  <c r="C84" i="14"/>
  <c r="B84" i="18" s="1"/>
  <c r="C54" i="14"/>
  <c r="B54" i="18" s="1"/>
  <c r="C167" i="14"/>
  <c r="B167" i="18" s="1"/>
  <c r="C137" i="14"/>
  <c r="B137" i="18" s="1"/>
  <c r="AB209" i="14"/>
  <c r="C209" i="18" s="1"/>
  <c r="S183" i="14"/>
  <c r="S199" i="14"/>
  <c r="R189" i="14"/>
  <c r="C179" i="14"/>
  <c r="B179" i="18" s="1"/>
  <c r="K189" i="14"/>
  <c r="D179" i="14"/>
  <c r="S184" i="14"/>
  <c r="R178" i="14"/>
  <c r="R194" i="14"/>
  <c r="S181" i="14"/>
  <c r="S197" i="14"/>
  <c r="R187" i="14"/>
  <c r="C177" i="14"/>
  <c r="B177" i="18" s="1"/>
  <c r="K187" i="14"/>
  <c r="D177" i="14"/>
  <c r="R192" i="14"/>
  <c r="K194" i="14"/>
  <c r="D193" i="14"/>
  <c r="C189" i="14"/>
  <c r="B189" i="18" s="1"/>
  <c r="AC176" i="14"/>
  <c r="D176" i="18" s="1"/>
  <c r="AC184" i="14"/>
  <c r="D184" i="18" s="1"/>
  <c r="AC192" i="14"/>
  <c r="D192" i="18" s="1"/>
  <c r="T178" i="14"/>
  <c r="T194" i="14"/>
  <c r="W184" i="14"/>
  <c r="R196" i="14"/>
  <c r="K196" i="14"/>
  <c r="D194" i="14"/>
  <c r="C190" i="14"/>
  <c r="B190" i="18" s="1"/>
  <c r="AB177" i="14"/>
  <c r="C177" i="18" s="1"/>
  <c r="AB185" i="14"/>
  <c r="C185" i="18" s="1"/>
  <c r="AB193" i="14"/>
  <c r="C193" i="18" s="1"/>
  <c r="T175" i="14"/>
  <c r="T191" i="14"/>
  <c r="W181" i="14"/>
  <c r="W197" i="14"/>
  <c r="C180" i="14"/>
  <c r="B180" i="18" s="1"/>
  <c r="D176" i="14"/>
  <c r="D195" i="14"/>
  <c r="C191" i="14"/>
  <c r="B191" i="18" s="1"/>
  <c r="AC177" i="14"/>
  <c r="D177" i="18" s="1"/>
  <c r="AC185" i="14"/>
  <c r="D185" i="18" s="1"/>
  <c r="E185" i="18" s="1"/>
  <c r="AC193" i="14"/>
  <c r="D193" i="18" s="1"/>
  <c r="T176" i="14"/>
  <c r="T192" i="14"/>
  <c r="W186" i="14"/>
  <c r="S186" i="14"/>
  <c r="C188" i="14"/>
  <c r="B188" i="18" s="1"/>
  <c r="T177" i="14"/>
  <c r="K184" i="14"/>
  <c r="AB176" i="14"/>
  <c r="C176" i="18" s="1"/>
  <c r="T197" i="14"/>
  <c r="AB180" i="14"/>
  <c r="C180" i="18" s="1"/>
  <c r="S209" i="14"/>
  <c r="C196" i="14"/>
  <c r="B196" i="18" s="1"/>
  <c r="T185" i="14"/>
  <c r="AB188" i="14"/>
  <c r="C188" i="18" s="1"/>
  <c r="C68" i="14"/>
  <c r="B68" i="18" s="1"/>
  <c r="C38" i="14"/>
  <c r="B38" i="18" s="1"/>
  <c r="C151" i="14"/>
  <c r="B151" i="18" s="1"/>
  <c r="C121" i="14"/>
  <c r="B121" i="18" s="1"/>
  <c r="C107" i="14"/>
  <c r="B107" i="18" s="1"/>
  <c r="C77" i="14"/>
  <c r="B77" i="18" s="1"/>
  <c r="C47" i="14"/>
  <c r="B47" i="18" s="1"/>
  <c r="C49" i="14"/>
  <c r="B49" i="18" s="1"/>
  <c r="AC171" i="14"/>
  <c r="D171" i="18" s="1"/>
  <c r="AC114" i="14"/>
  <c r="D114" i="18" s="1"/>
  <c r="AC96" i="14"/>
  <c r="D96" i="18" s="1"/>
  <c r="W74" i="14"/>
  <c r="W49" i="14"/>
  <c r="W172" i="14"/>
  <c r="T88" i="14"/>
  <c r="T37" i="14"/>
  <c r="AB132" i="14"/>
  <c r="C132" i="18" s="1"/>
  <c r="AB149" i="14"/>
  <c r="C149" i="18" s="1"/>
  <c r="AC86" i="14"/>
  <c r="D86" i="18" s="1"/>
  <c r="AC21" i="14"/>
  <c r="D21" i="18" s="1"/>
  <c r="C35" i="14"/>
  <c r="B35" i="18" s="1"/>
  <c r="C148" i="14"/>
  <c r="B148" i="18" s="1"/>
  <c r="C118" i="14"/>
  <c r="B118" i="18" s="1"/>
  <c r="C88" i="14"/>
  <c r="B88" i="18" s="1"/>
  <c r="AC187" i="14"/>
  <c r="D187" i="18" s="1"/>
  <c r="E187" i="18" s="1"/>
  <c r="T180" i="14"/>
  <c r="W190" i="14"/>
  <c r="AB182" i="14"/>
  <c r="C182" i="18" s="1"/>
  <c r="D184" i="14"/>
  <c r="W183" i="14"/>
  <c r="R188" i="14"/>
  <c r="W187" i="14"/>
  <c r="C132" i="14"/>
  <c r="B132" i="18" s="1"/>
  <c r="C72" i="14"/>
  <c r="B72" i="18" s="1"/>
  <c r="C171" i="14"/>
  <c r="B171" i="18" s="1"/>
  <c r="C111" i="14"/>
  <c r="B111" i="18" s="1"/>
  <c r="AC101" i="14"/>
  <c r="D101" i="18" s="1"/>
  <c r="W89" i="14"/>
  <c r="W115" i="14"/>
  <c r="T152" i="14"/>
  <c r="T30" i="14"/>
  <c r="AC20" i="14"/>
  <c r="D20" i="18" s="1"/>
  <c r="C99" i="14"/>
  <c r="B99" i="18" s="1"/>
  <c r="C39" i="14"/>
  <c r="B39" i="18" s="1"/>
  <c r="C58" i="14"/>
  <c r="B58" i="18" s="1"/>
  <c r="C44" i="14"/>
  <c r="B44" i="18" s="1"/>
  <c r="C157" i="14"/>
  <c r="B157" i="18" s="1"/>
  <c r="C127" i="14"/>
  <c r="B127" i="18" s="1"/>
  <c r="C129" i="14"/>
  <c r="B129" i="18" s="1"/>
  <c r="AC53" i="14"/>
  <c r="D53" i="18" s="1"/>
  <c r="AC130" i="14"/>
  <c r="D130" i="18" s="1"/>
  <c r="AC30" i="14"/>
  <c r="D30" i="18" s="1"/>
  <c r="W90" i="14"/>
  <c r="W67" i="14"/>
  <c r="AB14" i="14"/>
  <c r="C14" i="18" s="1"/>
  <c r="T104" i="14"/>
  <c r="T53" i="14"/>
  <c r="AB148" i="14"/>
  <c r="C148" i="18" s="1"/>
  <c r="AC143" i="14"/>
  <c r="D143" i="18" s="1"/>
  <c r="AC102" i="14"/>
  <c r="D102" i="18" s="1"/>
  <c r="W27" i="14"/>
  <c r="AC68" i="14"/>
  <c r="D68" i="18" s="1"/>
  <c r="E68" i="18" s="1"/>
  <c r="W156" i="14"/>
  <c r="W17" i="14"/>
  <c r="T76" i="14"/>
  <c r="T57" i="14"/>
  <c r="AB152" i="14"/>
  <c r="C152" i="18" s="1"/>
  <c r="C100" i="14"/>
  <c r="B100" i="18" s="1"/>
  <c r="C70" i="14"/>
  <c r="B70" i="18" s="1"/>
  <c r="C40" i="14"/>
  <c r="B40" i="18" s="1"/>
  <c r="C153" i="14"/>
  <c r="B153" i="18" s="1"/>
  <c r="C139" i="14"/>
  <c r="B139" i="18" s="1"/>
  <c r="C109" i="14"/>
  <c r="B109" i="18" s="1"/>
  <c r="C79" i="14"/>
  <c r="B79" i="18" s="1"/>
  <c r="C81" i="14"/>
  <c r="B81" i="18" s="1"/>
  <c r="AC139" i="14"/>
  <c r="D139" i="18" s="1"/>
  <c r="AC82" i="14"/>
  <c r="D82" i="18" s="1"/>
  <c r="AC33" i="14"/>
  <c r="D33" i="18" s="1"/>
  <c r="W28" i="14"/>
  <c r="AC72" i="14"/>
  <c r="D72" i="18" s="1"/>
  <c r="W160" i="14"/>
  <c r="T56" i="14"/>
  <c r="AB171" i="14"/>
  <c r="C171" i="18" s="1"/>
  <c r="AB100" i="14"/>
  <c r="C100" i="18" s="1"/>
  <c r="AB21" i="14"/>
  <c r="C21" i="18" s="1"/>
  <c r="AC54" i="14"/>
  <c r="D54" i="18" s="1"/>
  <c r="AC119" i="14"/>
  <c r="D119" i="18" s="1"/>
  <c r="W173" i="14"/>
  <c r="W60" i="14"/>
  <c r="W72" i="14"/>
  <c r="T28" i="14"/>
  <c r="AB159" i="14"/>
  <c r="C159" i="18" s="1"/>
  <c r="AB104" i="14"/>
  <c r="C104" i="18" s="1"/>
  <c r="C135" i="14"/>
  <c r="B135" i="18" s="1"/>
  <c r="C174" i="14"/>
  <c r="B174" i="18" s="1"/>
  <c r="AC115" i="14"/>
  <c r="D115" i="18" s="1"/>
  <c r="AB174" i="14"/>
  <c r="C174" i="18" s="1"/>
  <c r="AC140" i="14"/>
  <c r="D140" i="18" s="1"/>
  <c r="W23" i="14"/>
  <c r="T124" i="14"/>
  <c r="T34" i="14"/>
  <c r="K39" i="14"/>
  <c r="W30" i="14"/>
  <c r="W81" i="14"/>
  <c r="W162" i="14"/>
  <c r="W155" i="14"/>
  <c r="AB134" i="14"/>
  <c r="C134" i="18" s="1"/>
  <c r="AB99" i="14"/>
  <c r="C99" i="18" s="1"/>
  <c r="T173" i="14"/>
  <c r="T86" i="14"/>
  <c r="AC113" i="14"/>
  <c r="D113" i="18" s="1"/>
  <c r="W88" i="14"/>
  <c r="T26" i="14"/>
  <c r="D63" i="14"/>
  <c r="K52" i="14"/>
  <c r="D152" i="14"/>
  <c r="K101" i="14"/>
  <c r="R137" i="14"/>
  <c r="S95" i="14"/>
  <c r="R53" i="14"/>
  <c r="K50" i="14"/>
  <c r="R113" i="14"/>
  <c r="S64" i="14"/>
  <c r="W69" i="14"/>
  <c r="AB39" i="14"/>
  <c r="C39" i="18" s="1"/>
  <c r="K159" i="14"/>
  <c r="T159" i="14"/>
  <c r="D108" i="14"/>
  <c r="K57" i="14"/>
  <c r="C116" i="14"/>
  <c r="B116" i="18" s="1"/>
  <c r="C155" i="14"/>
  <c r="B155" i="18" s="1"/>
  <c r="AC155" i="14"/>
  <c r="D155" i="18" s="1"/>
  <c r="AC37" i="14"/>
  <c r="D37" i="18" s="1"/>
  <c r="AB116" i="14"/>
  <c r="C116" i="18" s="1"/>
  <c r="W22" i="14"/>
  <c r="W104" i="14"/>
  <c r="T25" i="14"/>
  <c r="T114" i="14"/>
  <c r="AC45" i="14"/>
  <c r="D45" i="18" s="1"/>
  <c r="AC122" i="14"/>
  <c r="D122" i="18" s="1"/>
  <c r="W31" i="14"/>
  <c r="W48" i="14"/>
  <c r="W32" i="14"/>
  <c r="AB22" i="14"/>
  <c r="C22" i="18" s="1"/>
  <c r="T112" i="14"/>
  <c r="T125" i="14"/>
  <c r="T38" i="14"/>
  <c r="K59" i="14"/>
  <c r="AC56" i="14"/>
  <c r="D56" i="18" s="1"/>
  <c r="AB32" i="14"/>
  <c r="C32" i="18" s="1"/>
  <c r="K171" i="14"/>
  <c r="T147" i="14"/>
  <c r="D104" i="14"/>
  <c r="AC189" i="14"/>
  <c r="D189" i="18" s="1"/>
  <c r="T184" i="14"/>
  <c r="W194" i="14"/>
  <c r="AB190" i="14"/>
  <c r="C190" i="18" s="1"/>
  <c r="D200" i="14"/>
  <c r="W199" i="14"/>
  <c r="K192" i="14"/>
  <c r="D192" i="14"/>
  <c r="C53" i="14"/>
  <c r="B53" i="18" s="1"/>
  <c r="C136" i="14"/>
  <c r="B136" i="18" s="1"/>
  <c r="C92" i="14"/>
  <c r="B92" i="18" s="1"/>
  <c r="C48" i="14"/>
  <c r="B48" i="18" s="1"/>
  <c r="AC35" i="14"/>
  <c r="D35" i="18" s="1"/>
  <c r="W153" i="14"/>
  <c r="W12" i="14"/>
  <c r="AB75" i="14"/>
  <c r="C75" i="18" s="1"/>
  <c r="T94" i="14"/>
  <c r="AC157" i="14"/>
  <c r="D157" i="18" s="1"/>
  <c r="C163" i="14"/>
  <c r="B163" i="18" s="1"/>
  <c r="C103" i="14"/>
  <c r="B103" i="18" s="1"/>
  <c r="C122" i="14"/>
  <c r="B122" i="18" s="1"/>
  <c r="C108" i="14"/>
  <c r="B108" i="18" s="1"/>
  <c r="C78" i="14"/>
  <c r="B78" i="18" s="1"/>
  <c r="C64" i="14"/>
  <c r="B64" i="18" s="1"/>
  <c r="C50" i="14"/>
  <c r="B50" i="18" s="1"/>
  <c r="AC117" i="14"/>
  <c r="D117" i="18" s="1"/>
  <c r="AC153" i="14"/>
  <c r="D153" i="18" s="1"/>
  <c r="W105" i="14"/>
  <c r="W154" i="14"/>
  <c r="W131" i="14"/>
  <c r="AB78" i="14"/>
  <c r="C78" i="18" s="1"/>
  <c r="AB27" i="14"/>
  <c r="C27" i="18" s="1"/>
  <c r="T117" i="14"/>
  <c r="T46" i="14"/>
  <c r="AC89" i="14"/>
  <c r="D89" i="18" s="1"/>
  <c r="W26" i="14"/>
  <c r="AC112" i="14"/>
  <c r="D112" i="18" s="1"/>
  <c r="W78" i="14"/>
  <c r="W71" i="14"/>
  <c r="AB66" i="14"/>
  <c r="C66" i="18" s="1"/>
  <c r="T140" i="14"/>
  <c r="T121" i="14"/>
  <c r="C51" i="14"/>
  <c r="B51" i="18" s="1"/>
  <c r="C164" i="14"/>
  <c r="B164" i="18" s="1"/>
  <c r="C134" i="14"/>
  <c r="B134" i="18" s="1"/>
  <c r="C104" i="14"/>
  <c r="B104" i="18" s="1"/>
  <c r="C74" i="14"/>
  <c r="B74" i="18" s="1"/>
  <c r="C60" i="14"/>
  <c r="B60" i="18" s="1"/>
  <c r="C173" i="14"/>
  <c r="B173" i="18" s="1"/>
  <c r="C143" i="14"/>
  <c r="B143" i="18" s="1"/>
  <c r="C145" i="14"/>
  <c r="B145" i="18" s="1"/>
  <c r="AC69" i="14"/>
  <c r="D69" i="18" s="1"/>
  <c r="AC32" i="14"/>
  <c r="D32" i="18" s="1"/>
  <c r="W57" i="14"/>
  <c r="W106" i="14"/>
  <c r="W83" i="14"/>
  <c r="AB30" i="14"/>
  <c r="C30" i="18" s="1"/>
  <c r="T120" i="14"/>
  <c r="T69" i="14"/>
  <c r="AB164" i="14"/>
  <c r="C164" i="18" s="1"/>
  <c r="AC159" i="14"/>
  <c r="D159" i="18" s="1"/>
  <c r="E159" i="18" s="1"/>
  <c r="AC118" i="14"/>
  <c r="D118" i="18" s="1"/>
  <c r="W43" i="14"/>
  <c r="AC132" i="14"/>
  <c r="D132" i="18" s="1"/>
  <c r="E132" i="18" s="1"/>
  <c r="AC88" i="14"/>
  <c r="D88" i="18" s="1"/>
  <c r="AB18" i="14"/>
  <c r="C18" i="18" s="1"/>
  <c r="T92" i="14"/>
  <c r="T73" i="14"/>
  <c r="AB168" i="14"/>
  <c r="C168" i="18" s="1"/>
  <c r="C105" i="14"/>
  <c r="B105" i="18" s="1"/>
  <c r="C160" i="14"/>
  <c r="B160" i="18" s="1"/>
  <c r="AC154" i="14"/>
  <c r="D154" i="18" s="1"/>
  <c r="AB123" i="14"/>
  <c r="C123" i="18" s="1"/>
  <c r="AC71" i="14"/>
  <c r="D71" i="18" s="1"/>
  <c r="W55" i="14"/>
  <c r="AB127" i="14"/>
  <c r="C127" i="18" s="1"/>
  <c r="T98" i="14"/>
  <c r="AC93" i="14"/>
  <c r="D93" i="18" s="1"/>
  <c r="AC91" i="14"/>
  <c r="D91" i="18" s="1"/>
  <c r="W145" i="14"/>
  <c r="W68" i="14"/>
  <c r="W36" i="14"/>
  <c r="T32" i="14"/>
  <c r="AB163" i="14"/>
  <c r="C163" i="18" s="1"/>
  <c r="AB60" i="14"/>
  <c r="C60" i="18" s="1"/>
  <c r="T150" i="14"/>
  <c r="AC165" i="14"/>
  <c r="D165" i="18" s="1"/>
  <c r="AB170" i="14"/>
  <c r="C170" i="18" s="1"/>
  <c r="T79" i="14"/>
  <c r="D127" i="14"/>
  <c r="K116" i="14"/>
  <c r="R142" i="14"/>
  <c r="K165" i="14"/>
  <c r="K42" i="14"/>
  <c r="R167" i="14"/>
  <c r="R85" i="14"/>
  <c r="R145" i="14"/>
  <c r="R131" i="14"/>
  <c r="R158" i="14"/>
  <c r="W150" i="14"/>
  <c r="T97" i="14"/>
  <c r="D83" i="14"/>
  <c r="K72" i="14"/>
  <c r="D172" i="14"/>
  <c r="K121" i="14"/>
  <c r="C86" i="14"/>
  <c r="B86" i="18" s="1"/>
  <c r="C125" i="14"/>
  <c r="B125" i="18" s="1"/>
  <c r="AC98" i="14"/>
  <c r="D98" i="18" s="1"/>
  <c r="W164" i="14"/>
  <c r="AB85" i="14"/>
  <c r="C85" i="18" s="1"/>
  <c r="W110" i="14"/>
  <c r="AB98" i="14"/>
  <c r="C98" i="18" s="1"/>
  <c r="T153" i="14"/>
  <c r="AB37" i="14"/>
  <c r="C37" i="18" s="1"/>
  <c r="AC109" i="14"/>
  <c r="D109" i="18" s="1"/>
  <c r="W46" i="14"/>
  <c r="AC128" i="14"/>
  <c r="D128" i="18" s="1"/>
  <c r="W114" i="14"/>
  <c r="W107" i="14"/>
  <c r="AB86" i="14"/>
  <c r="C86" i="18" s="1"/>
  <c r="AB51" i="14"/>
  <c r="C51" i="18" s="1"/>
  <c r="AB12" i="14"/>
  <c r="C12" i="18" s="1"/>
  <c r="T102" i="14"/>
  <c r="W33" i="14"/>
  <c r="W13" i="14"/>
  <c r="T90" i="14"/>
  <c r="D79" i="14"/>
  <c r="K68" i="14"/>
  <c r="D168" i="14"/>
  <c r="K117" i="14"/>
  <c r="S141" i="14"/>
  <c r="R75" i="14"/>
  <c r="R151" i="14"/>
  <c r="R165" i="14"/>
  <c r="S71" i="14"/>
  <c r="S163" i="14"/>
  <c r="AC65" i="14"/>
  <c r="D65" i="18" s="1"/>
  <c r="W159" i="14"/>
  <c r="T42" i="14"/>
  <c r="D99" i="14"/>
  <c r="K88" i="14"/>
  <c r="D21" i="14"/>
  <c r="K137" i="14"/>
  <c r="K122" i="14"/>
  <c r="C67" i="14"/>
  <c r="B67" i="18" s="1"/>
  <c r="C90" i="14"/>
  <c r="B90" i="18" s="1"/>
  <c r="C161" i="14"/>
  <c r="B161" i="18" s="1"/>
  <c r="W122" i="14"/>
  <c r="T85" i="14"/>
  <c r="AC150" i="14"/>
  <c r="D150" i="18" s="1"/>
  <c r="W119" i="14"/>
  <c r="AB63" i="14"/>
  <c r="C63" i="18" s="1"/>
  <c r="T66" i="14"/>
  <c r="AC147" i="14"/>
  <c r="D147" i="18" s="1"/>
  <c r="AC74" i="14"/>
  <c r="D74" i="18" s="1"/>
  <c r="AC123" i="14"/>
  <c r="D123" i="18" s="1"/>
  <c r="E123" i="18" s="1"/>
  <c r="AC162" i="14"/>
  <c r="D162" i="18" s="1"/>
  <c r="W59" i="14"/>
  <c r="AB38" i="14"/>
  <c r="C38" i="18" s="1"/>
  <c r="T128" i="14"/>
  <c r="T77" i="14"/>
  <c r="AB156" i="14"/>
  <c r="C156" i="18" s="1"/>
  <c r="T164" i="14"/>
  <c r="W70" i="14"/>
  <c r="T17" i="14"/>
  <c r="K123" i="14"/>
  <c r="AB153" i="14"/>
  <c r="C153" i="18" s="1"/>
  <c r="D56" i="14"/>
  <c r="T151" i="14"/>
  <c r="D105" i="14"/>
  <c r="AC195" i="14"/>
  <c r="D195" i="18" s="1"/>
  <c r="E195" i="18" s="1"/>
  <c r="T196" i="14"/>
  <c r="K176" i="14"/>
  <c r="T193" i="14"/>
  <c r="AB184" i="14"/>
  <c r="C184" i="18" s="1"/>
  <c r="AB196" i="14"/>
  <c r="C196" i="18" s="1"/>
  <c r="AB178" i="14"/>
  <c r="C178" i="18" s="1"/>
  <c r="W175" i="14"/>
  <c r="C102" i="14"/>
  <c r="B102" i="18" s="1"/>
  <c r="C42" i="14"/>
  <c r="B42" i="18" s="1"/>
  <c r="C141" i="14"/>
  <c r="B141" i="18" s="1"/>
  <c r="C113" i="14"/>
  <c r="B113" i="18" s="1"/>
  <c r="AC137" i="14"/>
  <c r="D137" i="18" s="1"/>
  <c r="W138" i="14"/>
  <c r="AB62" i="14"/>
  <c r="C62" i="18" s="1"/>
  <c r="T101" i="14"/>
  <c r="AC73" i="14"/>
  <c r="D73" i="18" s="1"/>
  <c r="AC48" i="14"/>
  <c r="D48" i="18" s="1"/>
  <c r="C69" i="14"/>
  <c r="B69" i="18" s="1"/>
  <c r="C152" i="14"/>
  <c r="B152" i="18" s="1"/>
  <c r="C59" i="14"/>
  <c r="B59" i="18" s="1"/>
  <c r="C172" i="14"/>
  <c r="B172" i="18" s="1"/>
  <c r="C142" i="14"/>
  <c r="B142" i="18" s="1"/>
  <c r="C128" i="14"/>
  <c r="B128" i="18" s="1"/>
  <c r="C162" i="14"/>
  <c r="B162" i="18" s="1"/>
  <c r="AC136" i="14"/>
  <c r="D136" i="18" s="1"/>
  <c r="AC83" i="14"/>
  <c r="D83" i="18" s="1"/>
  <c r="W169" i="14"/>
  <c r="W52" i="14"/>
  <c r="AC146" i="14"/>
  <c r="D146" i="18" s="1"/>
  <c r="AB142" i="14"/>
  <c r="C142" i="18" s="1"/>
  <c r="AB91" i="14"/>
  <c r="C91" i="18" s="1"/>
  <c r="AB20" i="14"/>
  <c r="C20" i="18" s="1"/>
  <c r="T110" i="14"/>
  <c r="AC23" i="14"/>
  <c r="D23" i="18" s="1"/>
  <c r="AC173" i="14"/>
  <c r="D173" i="18" s="1"/>
  <c r="W93" i="14"/>
  <c r="W142" i="14"/>
  <c r="W135" i="14"/>
  <c r="AB130" i="14"/>
  <c r="C130" i="18" s="1"/>
  <c r="AB79" i="14"/>
  <c r="C79" i="18" s="1"/>
  <c r="AB24" i="14"/>
  <c r="C24" i="18" s="1"/>
  <c r="C115" i="14"/>
  <c r="B115" i="18" s="1"/>
  <c r="C85" i="14"/>
  <c r="B85" i="18" s="1"/>
  <c r="C55" i="14"/>
  <c r="B55" i="18" s="1"/>
  <c r="C168" i="14"/>
  <c r="B168" i="18" s="1"/>
  <c r="C138" i="14"/>
  <c r="B138" i="18" s="1"/>
  <c r="C124" i="14"/>
  <c r="B124" i="18" s="1"/>
  <c r="C94" i="14"/>
  <c r="B94" i="18" s="1"/>
  <c r="C80" i="14"/>
  <c r="B80" i="18" s="1"/>
  <c r="C66" i="14"/>
  <c r="B66" i="18" s="1"/>
  <c r="AC133" i="14"/>
  <c r="D133" i="18" s="1"/>
  <c r="AC169" i="14"/>
  <c r="D169" i="18" s="1"/>
  <c r="W121" i="14"/>
  <c r="W170" i="14"/>
  <c r="W147" i="14"/>
  <c r="AB94" i="14"/>
  <c r="C94" i="18" s="1"/>
  <c r="AB43" i="14"/>
  <c r="C43" i="18" s="1"/>
  <c r="T133" i="14"/>
  <c r="T62" i="14"/>
  <c r="AC105" i="14"/>
  <c r="D105" i="18" s="1"/>
  <c r="W42" i="14"/>
  <c r="W37" i="14"/>
  <c r="W94" i="14"/>
  <c r="W87" i="14"/>
  <c r="AB82" i="14"/>
  <c r="C82" i="18" s="1"/>
  <c r="AB31" i="14"/>
  <c r="C31" i="18" s="1"/>
  <c r="T137" i="14"/>
  <c r="C52" i="14"/>
  <c r="B52" i="18" s="1"/>
  <c r="C91" i="14"/>
  <c r="B91" i="18" s="1"/>
  <c r="C114" i="14"/>
  <c r="B114" i="18" s="1"/>
  <c r="W116" i="14"/>
  <c r="AB52" i="14"/>
  <c r="C52" i="18" s="1"/>
  <c r="W125" i="14"/>
  <c r="W16" i="14"/>
  <c r="T105" i="14"/>
  <c r="T162" i="14"/>
  <c r="AC27" i="14"/>
  <c r="D27" i="18" s="1"/>
  <c r="AC25" i="14"/>
  <c r="D25" i="18" s="1"/>
  <c r="AC18" i="14"/>
  <c r="D18" i="18" s="1"/>
  <c r="AC104" i="14"/>
  <c r="D104" i="18" s="1"/>
  <c r="W168" i="14"/>
  <c r="T96" i="14"/>
  <c r="T45" i="14"/>
  <c r="AB124" i="14"/>
  <c r="C124" i="18" s="1"/>
  <c r="T47" i="14"/>
  <c r="W53" i="14"/>
  <c r="AB87" i="14"/>
  <c r="C87" i="18" s="1"/>
  <c r="K91" i="14"/>
  <c r="AB25" i="14"/>
  <c r="C25" i="18" s="1"/>
  <c r="D24" i="14"/>
  <c r="T23" i="14"/>
  <c r="D73" i="14"/>
  <c r="D110" i="14"/>
  <c r="K46" i="14"/>
  <c r="R106" i="14"/>
  <c r="R67" i="14"/>
  <c r="S136" i="14"/>
  <c r="AC167" i="14"/>
  <c r="D167" i="18" s="1"/>
  <c r="W95" i="14"/>
  <c r="T127" i="14"/>
  <c r="D147" i="14"/>
  <c r="K136" i="14"/>
  <c r="AB45" i="14"/>
  <c r="C45" i="18" s="1"/>
  <c r="D29" i="14"/>
  <c r="C56" i="14"/>
  <c r="B56" i="18" s="1"/>
  <c r="C95" i="14"/>
  <c r="B95" i="18" s="1"/>
  <c r="W39" i="14"/>
  <c r="T72" i="14"/>
  <c r="AC70" i="14"/>
  <c r="D70" i="18" s="1"/>
  <c r="W92" i="14"/>
  <c r="T44" i="14"/>
  <c r="AB120" i="14"/>
  <c r="C120" i="18" s="1"/>
  <c r="T95" i="14"/>
  <c r="W29" i="14"/>
  <c r="AC43" i="14"/>
  <c r="D43" i="18" s="1"/>
  <c r="W97" i="14"/>
  <c r="W11" i="14"/>
  <c r="W171" i="14"/>
  <c r="AB150" i="14"/>
  <c r="C150" i="18" s="1"/>
  <c r="AB115" i="14"/>
  <c r="C115" i="18" s="1"/>
  <c r="AB76" i="14"/>
  <c r="C76" i="18" s="1"/>
  <c r="T166" i="14"/>
  <c r="AC63" i="14"/>
  <c r="D63" i="18" s="1"/>
  <c r="T36" i="14"/>
  <c r="K19" i="14"/>
  <c r="D143" i="14"/>
  <c r="K132" i="14"/>
  <c r="AC197" i="14"/>
  <c r="D197" i="18" s="1"/>
  <c r="E197" i="18" s="1"/>
  <c r="W178" i="14"/>
  <c r="D178" i="14"/>
  <c r="W179" i="14"/>
  <c r="AB192" i="14"/>
  <c r="C192" i="18" s="1"/>
  <c r="T189" i="14"/>
  <c r="AB186" i="14"/>
  <c r="C186" i="18" s="1"/>
  <c r="C83" i="14"/>
  <c r="B83" i="18" s="1"/>
  <c r="C166" i="14"/>
  <c r="B166" i="18" s="1"/>
  <c r="C106" i="14"/>
  <c r="B106" i="18" s="1"/>
  <c r="C62" i="14"/>
  <c r="B62" i="18" s="1"/>
  <c r="C98" i="14"/>
  <c r="B98" i="18" s="1"/>
  <c r="AC67" i="14"/>
  <c r="D67" i="18" s="1"/>
  <c r="AC76" i="14"/>
  <c r="D76" i="18" s="1"/>
  <c r="E76" i="18" s="1"/>
  <c r="AB126" i="14"/>
  <c r="C126" i="18" s="1"/>
  <c r="T165" i="14"/>
  <c r="AC38" i="14"/>
  <c r="D38" i="18" s="1"/>
  <c r="W77" i="14"/>
  <c r="C133" i="14"/>
  <c r="B133" i="18" s="1"/>
  <c r="C73" i="14"/>
  <c r="B73" i="18" s="1"/>
  <c r="C123" i="14"/>
  <c r="B123" i="18" s="1"/>
  <c r="C93" i="14"/>
  <c r="B93" i="18" s="1"/>
  <c r="C63" i="14"/>
  <c r="B63" i="18" s="1"/>
  <c r="C65" i="14"/>
  <c r="B65" i="18" s="1"/>
  <c r="C130" i="14"/>
  <c r="B130" i="18" s="1"/>
  <c r="AC66" i="14"/>
  <c r="D66" i="18" s="1"/>
  <c r="E66" i="18" s="1"/>
  <c r="AC17" i="14"/>
  <c r="D17" i="18" s="1"/>
  <c r="AC116" i="14"/>
  <c r="D116" i="18" s="1"/>
  <c r="E116" i="18" s="1"/>
  <c r="AC174" i="14"/>
  <c r="D174" i="18" s="1"/>
  <c r="W128" i="14"/>
  <c r="T40" i="14"/>
  <c r="AB155" i="14"/>
  <c r="C155" i="18" s="1"/>
  <c r="AB84" i="14"/>
  <c r="C84" i="18" s="1"/>
  <c r="T174" i="14"/>
  <c r="AC172" i="14"/>
  <c r="D172" i="18" s="1"/>
  <c r="AC103" i="14"/>
  <c r="D103" i="18" s="1"/>
  <c r="W157" i="14"/>
  <c r="AC108" i="14"/>
  <c r="D108" i="18" s="1"/>
  <c r="AC26" i="14"/>
  <c r="D26" i="18" s="1"/>
  <c r="T12" i="14"/>
  <c r="AB143" i="14"/>
  <c r="C143" i="18" s="1"/>
  <c r="AB88" i="14"/>
  <c r="C88" i="18" s="1"/>
  <c r="C36" i="14"/>
  <c r="B36" i="18" s="1"/>
  <c r="C149" i="14"/>
  <c r="B149" i="18" s="1"/>
  <c r="C119" i="14"/>
  <c r="B119" i="18" s="1"/>
  <c r="C89" i="14"/>
  <c r="B89" i="18" s="1"/>
  <c r="C75" i="14"/>
  <c r="B75" i="18" s="1"/>
  <c r="C45" i="14"/>
  <c r="B45" i="18" s="1"/>
  <c r="C158" i="14"/>
  <c r="B158" i="18" s="1"/>
  <c r="C144" i="14"/>
  <c r="B144" i="18" s="1"/>
  <c r="C146" i="14"/>
  <c r="B146" i="18" s="1"/>
  <c r="AC152" i="14"/>
  <c r="D152" i="18" s="1"/>
  <c r="E152" i="18" s="1"/>
  <c r="AC99" i="14"/>
  <c r="D99" i="18" s="1"/>
  <c r="E99" i="18" s="1"/>
  <c r="W18" i="14"/>
  <c r="W84" i="14"/>
  <c r="AC124" i="14"/>
  <c r="D124" i="18" s="1"/>
  <c r="E124" i="18" s="1"/>
  <c r="AB158" i="14"/>
  <c r="C158" i="18" s="1"/>
  <c r="AB107" i="14"/>
  <c r="C107" i="18" s="1"/>
  <c r="AB36" i="14"/>
  <c r="C36" i="18" s="1"/>
  <c r="T126" i="14"/>
  <c r="W25" i="14"/>
  <c r="AC55" i="14"/>
  <c r="D55" i="18" s="1"/>
  <c r="W109" i="14"/>
  <c r="W158" i="14"/>
  <c r="W151" i="14"/>
  <c r="AB146" i="14"/>
  <c r="C146" i="18" s="1"/>
  <c r="AB95" i="14"/>
  <c r="C95" i="18" s="1"/>
  <c r="AB40" i="14"/>
  <c r="C40" i="18" s="1"/>
  <c r="C165" i="14"/>
  <c r="B165" i="18" s="1"/>
  <c r="C61" i="14"/>
  <c r="B61" i="18" s="1"/>
  <c r="AC168" i="14"/>
  <c r="D168" i="18" s="1"/>
  <c r="E168" i="18" s="1"/>
  <c r="W64" i="14"/>
  <c r="T142" i="14"/>
  <c r="W62" i="14"/>
  <c r="AB50" i="14"/>
  <c r="C50" i="18" s="1"/>
  <c r="AB72" i="14"/>
  <c r="C72" i="18" s="1"/>
  <c r="T31" i="14"/>
  <c r="AC106" i="14"/>
  <c r="D106" i="18" s="1"/>
  <c r="AC64" i="14"/>
  <c r="D64" i="18" s="1"/>
  <c r="W98" i="14"/>
  <c r="W91" i="14"/>
  <c r="AB70" i="14"/>
  <c r="C70" i="18" s="1"/>
  <c r="AB35" i="14"/>
  <c r="C35" i="18" s="1"/>
  <c r="T109" i="14"/>
  <c r="T22" i="14"/>
  <c r="K43" i="14"/>
  <c r="W76" i="14"/>
  <c r="T145" i="14"/>
  <c r="K155" i="14"/>
  <c r="T83" i="14"/>
  <c r="D88" i="14"/>
  <c r="K37" i="14"/>
  <c r="D137" i="14"/>
  <c r="S43" i="14"/>
  <c r="D114" i="14"/>
  <c r="R126" i="14"/>
  <c r="S91" i="14"/>
  <c r="S123" i="14"/>
  <c r="AC46" i="14"/>
  <c r="D46" i="18" s="1"/>
  <c r="AB58" i="14"/>
  <c r="C58" i="18" s="1"/>
  <c r="K95" i="14"/>
  <c r="AB105" i="14"/>
  <c r="C105" i="18" s="1"/>
  <c r="D44" i="14"/>
  <c r="T103" i="14"/>
  <c r="D93" i="14"/>
  <c r="C169" i="14"/>
  <c r="B169" i="18" s="1"/>
  <c r="C97" i="14"/>
  <c r="B97" i="18" s="1"/>
  <c r="W58" i="14"/>
  <c r="T21" i="14"/>
  <c r="AC36" i="14"/>
  <c r="D36" i="18" s="1"/>
  <c r="E36" i="18" s="1"/>
  <c r="W103" i="14"/>
  <c r="AB47" i="14"/>
  <c r="C47" i="18" s="1"/>
  <c r="T50" i="14"/>
  <c r="K55" i="14"/>
  <c r="AC58" i="14"/>
  <c r="D58" i="18" s="1"/>
  <c r="AC107" i="14"/>
  <c r="D107" i="18" s="1"/>
  <c r="W161" i="14"/>
  <c r="W100" i="14"/>
  <c r="W80" i="14"/>
  <c r="T48" i="14"/>
  <c r="T61" i="14"/>
  <c r="AB140" i="14"/>
  <c r="C140" i="18" s="1"/>
  <c r="T111" i="14"/>
  <c r="W117" i="14"/>
  <c r="AB151" i="14"/>
  <c r="C151" i="18" s="1"/>
  <c r="K107" i="14"/>
  <c r="AB89" i="14"/>
  <c r="C89" i="18" s="1"/>
  <c r="D40" i="14"/>
  <c r="T87" i="14"/>
  <c r="D89" i="14"/>
  <c r="R153" i="14"/>
  <c r="S171" i="14"/>
  <c r="R89" i="14"/>
  <c r="S149" i="14"/>
  <c r="S117" i="14"/>
  <c r="S66" i="14"/>
  <c r="W133" i="14"/>
  <c r="AB103" i="14"/>
  <c r="C103" i="18" s="1"/>
  <c r="K111" i="14"/>
  <c r="AB169" i="14"/>
  <c r="C169" i="18" s="1"/>
  <c r="D60" i="14"/>
  <c r="T160" i="14"/>
  <c r="D109" i="14"/>
  <c r="S44" i="14"/>
  <c r="C150" i="14"/>
  <c r="B150" i="18" s="1"/>
  <c r="C46" i="14"/>
  <c r="B46" i="18" s="1"/>
  <c r="W38" i="14"/>
  <c r="AB46" i="14"/>
  <c r="C46" i="18" s="1"/>
  <c r="AC57" i="14"/>
  <c r="D57" i="18" s="1"/>
  <c r="W126" i="14"/>
  <c r="AB114" i="14"/>
  <c r="C114" i="18" s="1"/>
  <c r="T169" i="14"/>
  <c r="AB101" i="14"/>
  <c r="C101" i="18" s="1"/>
  <c r="AC125" i="14"/>
  <c r="D125" i="18" s="1"/>
  <c r="AC145" i="14"/>
  <c r="D145" i="18" s="1"/>
  <c r="W45" i="14"/>
  <c r="W130" i="14"/>
  <c r="W20" i="14"/>
  <c r="AB166" i="14"/>
  <c r="C166" i="18" s="1"/>
  <c r="AB131" i="14"/>
  <c r="C131" i="18" s="1"/>
  <c r="AB28" i="14"/>
  <c r="C28" i="18" s="1"/>
  <c r="T118" i="14"/>
  <c r="AC94" i="14"/>
  <c r="D94" i="18" s="1"/>
  <c r="E94" i="18" s="1"/>
  <c r="AB42" i="14"/>
  <c r="C42" i="18" s="1"/>
  <c r="T154" i="14"/>
  <c r="D95" i="14"/>
  <c r="K84" i="14"/>
  <c r="D17" i="14"/>
  <c r="K133" i="14"/>
  <c r="AB113" i="14"/>
  <c r="C113" i="18" s="1"/>
  <c r="AB29" i="14"/>
  <c r="C29" i="18" s="1"/>
  <c r="K106" i="14"/>
  <c r="S57" i="14"/>
  <c r="R98" i="14"/>
  <c r="AC110" i="14"/>
  <c r="D110" i="18" s="1"/>
  <c r="K31" i="14"/>
  <c r="K152" i="14"/>
  <c r="D45" i="14"/>
  <c r="C37" i="14"/>
  <c r="B37" i="18" s="1"/>
  <c r="AC85" i="14"/>
  <c r="D85" i="18" s="1"/>
  <c r="E85" i="18" s="1"/>
  <c r="T14" i="14"/>
  <c r="W136" i="14"/>
  <c r="T130" i="14"/>
  <c r="AC39" i="14"/>
  <c r="D39" i="18" s="1"/>
  <c r="W66" i="14"/>
  <c r="AB102" i="14"/>
  <c r="C102" i="18" s="1"/>
  <c r="T141" i="14"/>
  <c r="AC151" i="14"/>
  <c r="D151" i="18" s="1"/>
  <c r="AB96" i="14"/>
  <c r="C96" i="18" s="1"/>
  <c r="K20" i="14"/>
  <c r="K69" i="14"/>
  <c r="S157" i="14"/>
  <c r="AB129" i="14"/>
  <c r="C129" i="18" s="1"/>
  <c r="S93" i="14"/>
  <c r="R161" i="14"/>
  <c r="K38" i="14"/>
  <c r="S161" i="14"/>
  <c r="AC100" i="14"/>
  <c r="D100" i="18" s="1"/>
  <c r="E100" i="18" s="1"/>
  <c r="AB167" i="14"/>
  <c r="C167" i="18" s="1"/>
  <c r="K127" i="14"/>
  <c r="T35" i="14"/>
  <c r="D76" i="14"/>
  <c r="K25" i="14"/>
  <c r="D125" i="14"/>
  <c r="R56" i="14"/>
  <c r="R148" i="14"/>
  <c r="R166" i="14"/>
  <c r="W137" i="14"/>
  <c r="T108" i="14"/>
  <c r="AC75" i="14"/>
  <c r="D75" i="18" s="1"/>
  <c r="E75" i="18" s="1"/>
  <c r="T16" i="14"/>
  <c r="AC28" i="14"/>
  <c r="D28" i="18" s="1"/>
  <c r="K100" i="14"/>
  <c r="S37" i="14"/>
  <c r="S83" i="14"/>
  <c r="K56" i="14"/>
  <c r="S137" i="14"/>
  <c r="R90" i="14"/>
  <c r="S52" i="14"/>
  <c r="K86" i="14"/>
  <c r="AC97" i="14"/>
  <c r="D97" i="18" s="1"/>
  <c r="K15" i="14"/>
  <c r="AC62" i="14"/>
  <c r="D62" i="18" s="1"/>
  <c r="E62" i="18" s="1"/>
  <c r="AC92" i="14"/>
  <c r="D92" i="18" s="1"/>
  <c r="T143" i="14"/>
  <c r="D135" i="14"/>
  <c r="K108" i="14"/>
  <c r="AB61" i="14"/>
  <c r="C61" i="18" s="1"/>
  <c r="D33" i="14"/>
  <c r="R144" i="14"/>
  <c r="R169" i="14"/>
  <c r="R91" i="14"/>
  <c r="D15" i="14"/>
  <c r="S124" i="14"/>
  <c r="R45" i="14"/>
  <c r="W101" i="14"/>
  <c r="K47" i="14"/>
  <c r="K112" i="14"/>
  <c r="S129" i="14"/>
  <c r="R130" i="14"/>
  <c r="D34" i="14"/>
  <c r="AB13" i="14"/>
  <c r="C13" i="18" s="1"/>
  <c r="S145" i="14"/>
  <c r="S78" i="14"/>
  <c r="R112" i="14"/>
  <c r="S62" i="14"/>
  <c r="S16" i="14"/>
  <c r="S21" i="14"/>
  <c r="R23" i="14"/>
  <c r="C19" i="14"/>
  <c r="B19" i="18" s="1"/>
  <c r="R31" i="14"/>
  <c r="S107" i="22"/>
  <c r="S99" i="22"/>
  <c r="S23" i="22"/>
  <c r="S90" i="22"/>
  <c r="W19" i="14"/>
  <c r="AB111" i="14"/>
  <c r="C111" i="18" s="1"/>
  <c r="AC40" i="14"/>
  <c r="D40" i="18" s="1"/>
  <c r="T80" i="14"/>
  <c r="W51" i="14"/>
  <c r="K164" i="14"/>
  <c r="S130" i="14"/>
  <c r="R47" i="14"/>
  <c r="D131" i="14"/>
  <c r="S142" i="14"/>
  <c r="S138" i="14"/>
  <c r="D70" i="14"/>
  <c r="S132" i="14"/>
  <c r="D58" i="14"/>
  <c r="AB154" i="14"/>
  <c r="C154" i="18" s="1"/>
  <c r="D171" i="14"/>
  <c r="AC34" i="14"/>
  <c r="D34" i="18" s="1"/>
  <c r="T49" i="14"/>
  <c r="D23" i="14"/>
  <c r="T167" i="14"/>
  <c r="D96" i="14"/>
  <c r="K77" i="14"/>
  <c r="R139" i="14"/>
  <c r="S77" i="14"/>
  <c r="S39" i="14"/>
  <c r="T75" i="14"/>
  <c r="R81" i="14"/>
  <c r="S114" i="14"/>
  <c r="R62" i="14"/>
  <c r="AB135" i="14"/>
  <c r="C135" i="18" s="1"/>
  <c r="D20" i="14"/>
  <c r="D101" i="14"/>
  <c r="T27" i="14"/>
  <c r="K49" i="14"/>
  <c r="S125" i="14"/>
  <c r="R68" i="14"/>
  <c r="D69" i="14"/>
  <c r="R118" i="14"/>
  <c r="D164" i="14"/>
  <c r="R60" i="14"/>
  <c r="S30" i="14"/>
  <c r="T10" i="14"/>
  <c r="C20" i="14"/>
  <c r="B20" i="18" s="1"/>
  <c r="C31" i="14"/>
  <c r="B31" i="18" s="1"/>
  <c r="S53" i="22"/>
  <c r="C18" i="14"/>
  <c r="B18" i="18" s="1"/>
  <c r="R28" i="14"/>
  <c r="R11" i="14"/>
  <c r="S162" i="22"/>
  <c r="S113" i="22"/>
  <c r="S61" i="22"/>
  <c r="S60" i="22"/>
  <c r="S150" i="22"/>
  <c r="S155" i="22"/>
  <c r="C140" i="14"/>
  <c r="B140" i="18" s="1"/>
  <c r="W40" i="14"/>
  <c r="AC77" i="14"/>
  <c r="D77" i="18" s="1"/>
  <c r="W75" i="14"/>
  <c r="AB172" i="14"/>
  <c r="C172" i="18" s="1"/>
  <c r="K139" i="14"/>
  <c r="D121" i="14"/>
  <c r="S35" i="14"/>
  <c r="T116" i="14"/>
  <c r="T39" i="14"/>
  <c r="K62" i="14"/>
  <c r="S170" i="14"/>
  <c r="S88" i="14"/>
  <c r="S160" i="14"/>
  <c r="AC158" i="14"/>
  <c r="D158" i="18" s="1"/>
  <c r="E158" i="18" s="1"/>
  <c r="D75" i="14"/>
  <c r="W85" i="14"/>
  <c r="T132" i="14"/>
  <c r="K131" i="14"/>
  <c r="AB121" i="14"/>
  <c r="C121" i="18" s="1"/>
  <c r="D48" i="14"/>
  <c r="K29" i="14"/>
  <c r="D129" i="14"/>
  <c r="R57" i="14"/>
  <c r="R55" i="14"/>
  <c r="K18" i="14"/>
  <c r="S85" i="14"/>
  <c r="S131" i="14"/>
  <c r="R122" i="14"/>
  <c r="T65" i="14"/>
  <c r="R134" i="14"/>
  <c r="K53" i="14"/>
  <c r="S47" i="14"/>
  <c r="S110" i="14"/>
  <c r="AB97" i="14"/>
  <c r="C97" i="18" s="1"/>
  <c r="W15" i="14"/>
  <c r="D35" i="14"/>
  <c r="D124" i="14"/>
  <c r="D173" i="14"/>
  <c r="C120" i="14"/>
  <c r="B120" i="18" s="1"/>
  <c r="W73" i="14"/>
  <c r="AC134" i="14"/>
  <c r="D134" i="18" s="1"/>
  <c r="E134" i="18" s="1"/>
  <c r="T60" i="14"/>
  <c r="T156" i="14"/>
  <c r="AC59" i="14"/>
  <c r="D59" i="18" s="1"/>
  <c r="W132" i="14"/>
  <c r="T64" i="14"/>
  <c r="AB92" i="14"/>
  <c r="C92" i="18" s="1"/>
  <c r="AC127" i="14"/>
  <c r="D127" i="18" s="1"/>
  <c r="E127" i="18" s="1"/>
  <c r="K51" i="14"/>
  <c r="K148" i="14"/>
  <c r="D41" i="14"/>
  <c r="R59" i="14"/>
  <c r="K174" i="14"/>
  <c r="R115" i="14"/>
  <c r="S55" i="14"/>
  <c r="S50" i="14"/>
  <c r="R41" i="14"/>
  <c r="W108" i="14"/>
  <c r="AB48" i="14"/>
  <c r="C48" i="18" s="1"/>
  <c r="D51" i="14"/>
  <c r="K40" i="14"/>
  <c r="D140" i="14"/>
  <c r="K89" i="14"/>
  <c r="R138" i="14"/>
  <c r="S76" i="14"/>
  <c r="R54" i="14"/>
  <c r="K130" i="14"/>
  <c r="AB59" i="14"/>
  <c r="C59" i="18" s="1"/>
  <c r="T18" i="14"/>
  <c r="W129" i="14"/>
  <c r="AB147" i="14"/>
  <c r="C147" i="18" s="1"/>
  <c r="AB106" i="14"/>
  <c r="C106" i="18" s="1"/>
  <c r="S133" i="14"/>
  <c r="AB145" i="14"/>
  <c r="C145" i="18" s="1"/>
  <c r="AC120" i="14"/>
  <c r="D120" i="18" s="1"/>
  <c r="E120" i="18" s="1"/>
  <c r="D156" i="14"/>
  <c r="R127" i="14"/>
  <c r="R116" i="14"/>
  <c r="R80" i="14"/>
  <c r="R128" i="14"/>
  <c r="W165" i="14"/>
  <c r="K167" i="14"/>
  <c r="AC29" i="14"/>
  <c r="D29" i="18" s="1"/>
  <c r="AB138" i="14"/>
  <c r="C138" i="18" s="1"/>
  <c r="K99" i="14"/>
  <c r="R133" i="14"/>
  <c r="K172" i="14"/>
  <c r="T168" i="14"/>
  <c r="D97" i="14"/>
  <c r="S41" i="14"/>
  <c r="K14" i="14"/>
  <c r="R117" i="14"/>
  <c r="R163" i="14"/>
  <c r="K150" i="14"/>
  <c r="R40" i="14"/>
  <c r="W63" i="14"/>
  <c r="D27" i="14"/>
  <c r="T135" i="14"/>
  <c r="R52" i="14"/>
  <c r="AB141" i="14"/>
  <c r="C141" i="18" s="1"/>
  <c r="AB81" i="14"/>
  <c r="C81" i="18" s="1"/>
  <c r="D14" i="14"/>
  <c r="D148" i="14"/>
  <c r="D98" i="14"/>
  <c r="K118" i="14"/>
  <c r="K34" i="14"/>
  <c r="S14" i="14"/>
  <c r="D10" i="14"/>
  <c r="S97" i="22"/>
  <c r="S18" i="22"/>
  <c r="C30" i="14"/>
  <c r="B30" i="18" s="1"/>
  <c r="S55" i="22"/>
  <c r="S22" i="22"/>
  <c r="S76" i="22"/>
  <c r="C131" i="14"/>
  <c r="B131" i="18" s="1"/>
  <c r="T149" i="14"/>
  <c r="T82" i="14"/>
  <c r="AC84" i="14"/>
  <c r="D84" i="18" s="1"/>
  <c r="E84" i="18" s="1"/>
  <c r="T29" i="14"/>
  <c r="AB23" i="14"/>
  <c r="C23" i="18" s="1"/>
  <c r="AB157" i="14"/>
  <c r="C157" i="18" s="1"/>
  <c r="S73" i="14"/>
  <c r="AC148" i="14"/>
  <c r="D148" i="18" s="1"/>
  <c r="E148" i="18" s="1"/>
  <c r="K120" i="14"/>
  <c r="R36" i="14"/>
  <c r="S58" i="14"/>
  <c r="S150" i="14"/>
  <c r="D154" i="14"/>
  <c r="S49" i="14"/>
  <c r="AB80" i="14"/>
  <c r="C80" i="18" s="1"/>
  <c r="K96" i="14"/>
  <c r="W140" i="14"/>
  <c r="T58" i="14"/>
  <c r="D87" i="14"/>
  <c r="K60" i="14"/>
  <c r="D160" i="14"/>
  <c r="K141" i="14"/>
  <c r="K138" i="14"/>
  <c r="R119" i="14"/>
  <c r="R71" i="14"/>
  <c r="D22" i="14"/>
  <c r="S100" i="14"/>
  <c r="R77" i="14"/>
  <c r="AC12" i="14"/>
  <c r="D12" i="18" s="1"/>
  <c r="E12" i="18" s="1"/>
  <c r="T74" i="14"/>
  <c r="K16" i="14"/>
  <c r="S156" i="14"/>
  <c r="R82" i="14"/>
  <c r="T107" i="14"/>
  <c r="D74" i="14"/>
  <c r="S116" i="14"/>
  <c r="D94" i="14"/>
  <c r="R50" i="14"/>
  <c r="S140" i="14"/>
  <c r="S19" i="14"/>
  <c r="S17" i="14"/>
  <c r="K10" i="14"/>
  <c r="S153" i="22"/>
  <c r="S177" i="22"/>
  <c r="S179" i="22"/>
  <c r="S78" i="22"/>
  <c r="S43" i="22"/>
  <c r="S66" i="22"/>
  <c r="S170" i="22"/>
  <c r="S40" i="22"/>
  <c r="R15" i="14"/>
  <c r="S73" i="22"/>
  <c r="S85" i="22"/>
  <c r="S37" i="22"/>
  <c r="AC19" i="14"/>
  <c r="D19" i="18" s="1"/>
  <c r="AB34" i="14"/>
  <c r="C34" i="18" s="1"/>
  <c r="AC24" i="14"/>
  <c r="D24" i="18" s="1"/>
  <c r="E24" i="18" s="1"/>
  <c r="AB54" i="14"/>
  <c r="C54" i="18" s="1"/>
  <c r="K27" i="14"/>
  <c r="T19" i="14"/>
  <c r="R39" i="14"/>
  <c r="S126" i="14"/>
  <c r="K79" i="14"/>
  <c r="D77" i="14"/>
  <c r="S152" i="14"/>
  <c r="D134" i="14"/>
  <c r="R114" i="14"/>
  <c r="R78" i="14"/>
  <c r="T84" i="14"/>
  <c r="T131" i="14"/>
  <c r="W102" i="14"/>
  <c r="T113" i="14"/>
  <c r="D39" i="14"/>
  <c r="K12" i="14"/>
  <c r="D112" i="14"/>
  <c r="K93" i="14"/>
  <c r="S143" i="14"/>
  <c r="T91" i="14"/>
  <c r="S75" i="14"/>
  <c r="D86" i="14"/>
  <c r="S104" i="14"/>
  <c r="R111" i="14"/>
  <c r="AC47" i="14"/>
  <c r="D47" i="18" s="1"/>
  <c r="AB69" i="14"/>
  <c r="C69" i="18" s="1"/>
  <c r="K48" i="14"/>
  <c r="S46" i="14"/>
  <c r="S101" i="14"/>
  <c r="D30" i="14"/>
  <c r="AB73" i="14"/>
  <c r="C73" i="18" s="1"/>
  <c r="D26" i="14"/>
  <c r="R38" i="14"/>
  <c r="S173" i="14"/>
  <c r="R88" i="14"/>
  <c r="S13" i="14"/>
  <c r="R10" i="14"/>
  <c r="R24" i="14"/>
  <c r="S111" i="22"/>
  <c r="S74" i="22"/>
  <c r="S72" i="22"/>
  <c r="S105" i="22"/>
  <c r="S63" i="22"/>
  <c r="S144" i="22"/>
  <c r="AC51" i="14"/>
  <c r="D51" i="18" s="1"/>
  <c r="AC49" i="14"/>
  <c r="D49" i="18" s="1"/>
  <c r="K143" i="14"/>
  <c r="S99" i="14"/>
  <c r="AC95" i="14"/>
  <c r="D95" i="18" s="1"/>
  <c r="E95" i="18" s="1"/>
  <c r="K156" i="14"/>
  <c r="T59" i="14"/>
  <c r="S174" i="14"/>
  <c r="R109" i="14"/>
  <c r="R136" i="14"/>
  <c r="S24" i="14"/>
  <c r="S147" i="22"/>
  <c r="S172" i="22"/>
  <c r="S114" i="22"/>
  <c r="S120" i="22"/>
  <c r="AC11" i="14"/>
  <c r="D11" i="18" s="1"/>
  <c r="S68" i="22"/>
  <c r="S96" i="22"/>
  <c r="S133" i="22"/>
  <c r="W65" i="14"/>
  <c r="D50" i="14"/>
  <c r="R164" i="14"/>
  <c r="W127" i="14"/>
  <c r="K147" i="14"/>
  <c r="D145" i="14"/>
  <c r="D25" i="14"/>
  <c r="R110" i="14"/>
  <c r="K114" i="14"/>
  <c r="K166" i="14"/>
  <c r="AB122" i="14"/>
  <c r="C122" i="18" s="1"/>
  <c r="D163" i="14"/>
  <c r="AB109" i="14"/>
  <c r="C109" i="18" s="1"/>
  <c r="R154" i="14"/>
  <c r="C76" i="14"/>
  <c r="B76" i="18" s="1"/>
  <c r="W99" i="14"/>
  <c r="AC170" i="14"/>
  <c r="D170" i="18" s="1"/>
  <c r="E170" i="18" s="1"/>
  <c r="T41" i="14"/>
  <c r="AC61" i="14"/>
  <c r="D61" i="18" s="1"/>
  <c r="E61" i="18" s="1"/>
  <c r="W47" i="14"/>
  <c r="W123" i="14"/>
  <c r="AB67" i="14"/>
  <c r="C67" i="18" s="1"/>
  <c r="T54" i="14"/>
  <c r="W79" i="14"/>
  <c r="D31" i="14"/>
  <c r="D120" i="14"/>
  <c r="D169" i="14"/>
  <c r="S79" i="14"/>
  <c r="S155" i="14"/>
  <c r="S169" i="14"/>
  <c r="R83" i="14"/>
  <c r="R156" i="14"/>
  <c r="AC129" i="14"/>
  <c r="D129" i="18" s="1"/>
  <c r="E129" i="18" s="1"/>
  <c r="W24" i="14"/>
  <c r="T106" i="14"/>
  <c r="D115" i="14"/>
  <c r="K104" i="14"/>
  <c r="S134" i="14"/>
  <c r="K153" i="14"/>
  <c r="D62" i="14"/>
  <c r="S122" i="14"/>
  <c r="R86" i="14"/>
  <c r="C41" i="14"/>
  <c r="B41" i="18" s="1"/>
  <c r="AC141" i="14"/>
  <c r="D141" i="18" s="1"/>
  <c r="E141" i="18" s="1"/>
  <c r="K23" i="14"/>
  <c r="AC41" i="14"/>
  <c r="D41" i="18" s="1"/>
  <c r="AB44" i="14"/>
  <c r="C44" i="18" s="1"/>
  <c r="AB133" i="14"/>
  <c r="C133" i="18" s="1"/>
  <c r="K149" i="14"/>
  <c r="S87" i="14"/>
  <c r="AB112" i="14"/>
  <c r="C112" i="18" s="1"/>
  <c r="K105" i="14"/>
  <c r="D130" i="14"/>
  <c r="K66" i="14"/>
  <c r="S103" i="14"/>
  <c r="S172" i="14"/>
  <c r="W56" i="14"/>
  <c r="D139" i="14"/>
  <c r="W14" i="14"/>
  <c r="AB119" i="14"/>
  <c r="C119" i="18" s="1"/>
  <c r="K163" i="14"/>
  <c r="T115" i="14"/>
  <c r="D80" i="14"/>
  <c r="K61" i="14"/>
  <c r="D161" i="14"/>
  <c r="R73" i="14"/>
  <c r="D146" i="14"/>
  <c r="AB17" i="14"/>
  <c r="C17" i="18" s="1"/>
  <c r="S69" i="14"/>
  <c r="S80" i="14"/>
  <c r="K70" i="14"/>
  <c r="T148" i="14"/>
  <c r="D155" i="14"/>
  <c r="D37" i="14"/>
  <c r="R132" i="14"/>
  <c r="D117" i="14"/>
  <c r="S105" i="14"/>
  <c r="R150" i="14"/>
  <c r="K129" i="14"/>
  <c r="R101" i="14"/>
  <c r="D36" i="14"/>
  <c r="S67" i="14"/>
  <c r="S20" i="14"/>
  <c r="S10" i="22"/>
  <c r="C21" i="14"/>
  <c r="B21" i="18" s="1"/>
  <c r="S19" i="22"/>
  <c r="S132" i="22"/>
  <c r="S47" i="22"/>
  <c r="S70" i="22"/>
  <c r="S71" i="22"/>
  <c r="C154" i="14"/>
  <c r="B154" i="18" s="1"/>
  <c r="W61" i="14"/>
  <c r="AC163" i="14"/>
  <c r="D163" i="18" s="1"/>
  <c r="E163" i="18" s="1"/>
  <c r="AC142" i="14"/>
  <c r="D142" i="18" s="1"/>
  <c r="E142" i="18" s="1"/>
  <c r="AB108" i="14"/>
  <c r="C108" i="18" s="1"/>
  <c r="K75" i="14"/>
  <c r="D57" i="14"/>
  <c r="D118" i="14"/>
  <c r="W120" i="14"/>
  <c r="R143" i="14"/>
  <c r="R92" i="14"/>
  <c r="S94" i="14"/>
  <c r="S84" i="14"/>
  <c r="D42" i="14"/>
  <c r="AC149" i="14"/>
  <c r="D149" i="18" s="1"/>
  <c r="E149" i="18" s="1"/>
  <c r="K71" i="14"/>
  <c r="AC126" i="14"/>
  <c r="D126" i="18" s="1"/>
  <c r="E126" i="18" s="1"/>
  <c r="W152" i="14"/>
  <c r="K35" i="14"/>
  <c r="D151" i="14"/>
  <c r="K124" i="14"/>
  <c r="AB125" i="14"/>
  <c r="C125" i="18" s="1"/>
  <c r="D49" i="14"/>
  <c r="R155" i="14"/>
  <c r="K78" i="14"/>
  <c r="R100" i="14"/>
  <c r="S139" i="14"/>
  <c r="S165" i="14"/>
  <c r="S96" i="14"/>
  <c r="AC138" i="14"/>
  <c r="D138" i="18" s="1"/>
  <c r="E138" i="18" s="1"/>
  <c r="K87" i="14"/>
  <c r="D52" i="14"/>
  <c r="AB65" i="14"/>
  <c r="C65" i="18" s="1"/>
  <c r="D170" i="14"/>
  <c r="R94" i="14"/>
  <c r="K17" i="14"/>
  <c r="R95" i="14"/>
  <c r="S120" i="14"/>
  <c r="R46" i="14"/>
  <c r="D162" i="14"/>
  <c r="S10" i="14"/>
  <c r="S15" i="14"/>
  <c r="S14" i="22"/>
  <c r="C32" i="14"/>
  <c r="B32" i="18" s="1"/>
  <c r="C17" i="14"/>
  <c r="B17" i="18" s="1"/>
  <c r="S178" i="22"/>
  <c r="S123" i="22"/>
  <c r="R29" i="14"/>
  <c r="S89" i="22"/>
  <c r="S152" i="22"/>
  <c r="S36" i="22"/>
  <c r="S67" i="22"/>
  <c r="R25" i="14"/>
  <c r="C23" i="14"/>
  <c r="B23" i="18" s="1"/>
  <c r="C34" i="14"/>
  <c r="B34" i="18" s="1"/>
  <c r="W163" i="14"/>
  <c r="T89" i="14"/>
  <c r="AC166" i="14"/>
  <c r="D166" i="18" s="1"/>
  <c r="E166" i="18" s="1"/>
  <c r="T144" i="14"/>
  <c r="W134" i="14"/>
  <c r="D72" i="14"/>
  <c r="T171" i="14"/>
  <c r="K134" i="14"/>
  <c r="AB41" i="14"/>
  <c r="C41" i="18" s="1"/>
  <c r="K58" i="14"/>
  <c r="R70" i="14"/>
  <c r="R162" i="14"/>
  <c r="R172" i="14"/>
  <c r="S113" i="14"/>
  <c r="T138" i="14"/>
  <c r="AC81" i="14"/>
  <c r="D81" i="18" s="1"/>
  <c r="E81" i="18" s="1"/>
  <c r="W41" i="14"/>
  <c r="T122" i="14"/>
  <c r="D103" i="14"/>
  <c r="K76" i="14"/>
  <c r="R140" i="14"/>
  <c r="K157" i="14"/>
  <c r="D78" i="14"/>
  <c r="K142" i="14"/>
  <c r="R104" i="14"/>
  <c r="R147" i="14"/>
  <c r="R173" i="14"/>
  <c r="K54" i="14"/>
  <c r="W118" i="14"/>
  <c r="K119" i="14"/>
  <c r="D116" i="14"/>
  <c r="D153" i="14"/>
  <c r="K110" i="14"/>
  <c r="R51" i="14"/>
  <c r="D138" i="14"/>
  <c r="T161" i="14"/>
  <c r="K24" i="14"/>
  <c r="K73" i="14"/>
  <c r="R72" i="14"/>
  <c r="C159" i="14"/>
  <c r="B159" i="18" s="1"/>
  <c r="T136" i="14"/>
  <c r="W124" i="14"/>
  <c r="AB136" i="14"/>
  <c r="C136" i="18" s="1"/>
  <c r="AC144" i="14"/>
  <c r="D144" i="18" s="1"/>
  <c r="W113" i="14"/>
  <c r="W112" i="14"/>
  <c r="T13" i="14"/>
  <c r="AB53" i="14"/>
  <c r="C53" i="18" s="1"/>
  <c r="T100" i="14"/>
  <c r="D159" i="14"/>
  <c r="AB93" i="14"/>
  <c r="C93" i="18" s="1"/>
  <c r="K170" i="14"/>
  <c r="S121" i="14"/>
  <c r="R69" i="14"/>
  <c r="D54" i="14"/>
  <c r="S102" i="14"/>
  <c r="R129" i="14"/>
  <c r="W34" i="14"/>
  <c r="T52" i="14"/>
  <c r="K63" i="14"/>
  <c r="D12" i="14"/>
  <c r="K168" i="14"/>
  <c r="AB173" i="14"/>
  <c r="C173" i="18" s="1"/>
  <c r="D61" i="14"/>
  <c r="S158" i="14"/>
  <c r="K126" i="14"/>
  <c r="R103" i="14"/>
  <c r="C96" i="14"/>
  <c r="B96" i="18" s="1"/>
  <c r="AC22" i="14"/>
  <c r="D22" i="18" s="1"/>
  <c r="AC160" i="14"/>
  <c r="D160" i="18" s="1"/>
  <c r="AC60" i="14"/>
  <c r="D60" i="18" s="1"/>
  <c r="T134" i="14"/>
  <c r="D111" i="14"/>
  <c r="T163" i="14"/>
  <c r="S97" i="14"/>
  <c r="D67" i="14"/>
  <c r="D157" i="14"/>
  <c r="S38" i="14"/>
  <c r="R146" i="14"/>
  <c r="R123" i="14"/>
  <c r="R171" i="14"/>
  <c r="T129" i="14"/>
  <c r="K64" i="14"/>
  <c r="AC44" i="14"/>
  <c r="D44" i="18" s="1"/>
  <c r="E44" i="18" s="1"/>
  <c r="AB128" i="14"/>
  <c r="C128" i="18" s="1"/>
  <c r="D71" i="14"/>
  <c r="K44" i="14"/>
  <c r="D144" i="14"/>
  <c r="K125" i="14"/>
  <c r="K74" i="14"/>
  <c r="R108" i="14"/>
  <c r="R35" i="14"/>
  <c r="K146" i="14"/>
  <c r="R96" i="14"/>
  <c r="S147" i="14"/>
  <c r="AC78" i="14"/>
  <c r="D78" i="18" s="1"/>
  <c r="E78" i="18" s="1"/>
  <c r="AB144" i="14"/>
  <c r="C144" i="18" s="1"/>
  <c r="T67" i="14"/>
  <c r="K154" i="14"/>
  <c r="S148" i="14"/>
  <c r="R74" i="14"/>
  <c r="R44" i="14"/>
  <c r="S164" i="14"/>
  <c r="K26" i="14"/>
  <c r="R160" i="14"/>
  <c r="D149" i="14"/>
  <c r="S25" i="14"/>
  <c r="S34" i="14"/>
  <c r="W10" i="14"/>
  <c r="S88" i="22"/>
  <c r="S121" i="22"/>
  <c r="S81" i="22"/>
  <c r="R34" i="14"/>
  <c r="S139" i="22"/>
  <c r="S80" i="22"/>
  <c r="C82" i="14"/>
  <c r="B82" i="18" s="1"/>
  <c r="W167" i="14"/>
  <c r="AC90" i="14"/>
  <c r="D90" i="18" s="1"/>
  <c r="W144" i="14"/>
  <c r="AB117" i="14"/>
  <c r="C117" i="18" s="1"/>
  <c r="S135" i="14"/>
  <c r="D46" i="14"/>
  <c r="S106" i="14"/>
  <c r="T170" i="14"/>
  <c r="K169" i="14"/>
  <c r="R168" i="14"/>
  <c r="S127" i="14"/>
  <c r="S107" i="14"/>
  <c r="S98" i="14"/>
  <c r="W54" i="14"/>
  <c r="D43" i="14"/>
  <c r="AC80" i="14"/>
  <c r="D80" i="18" s="1"/>
  <c r="E80" i="18" s="1"/>
  <c r="T68" i="14"/>
  <c r="K115" i="14"/>
  <c r="AB57" i="14"/>
  <c r="C57" i="18" s="1"/>
  <c r="D32" i="14"/>
  <c r="K13" i="14"/>
  <c r="D113" i="14"/>
  <c r="S45" i="14"/>
  <c r="D11" i="14"/>
  <c r="R124" i="14"/>
  <c r="R49" i="14"/>
  <c r="D19" i="14"/>
  <c r="R61" i="14"/>
  <c r="AB26" i="14"/>
  <c r="C26" i="18" s="1"/>
  <c r="D59" i="14"/>
  <c r="K33" i="14"/>
  <c r="S72" i="14"/>
  <c r="K128" i="14"/>
  <c r="K162" i="14"/>
  <c r="D158" i="14"/>
  <c r="D13" i="14"/>
  <c r="S36" i="14"/>
  <c r="S65" i="14"/>
  <c r="S54" i="14"/>
  <c r="S32" i="14"/>
  <c r="S22" i="14"/>
  <c r="R21" i="14"/>
  <c r="S98" i="22"/>
  <c r="S17" i="22"/>
  <c r="S154" i="22"/>
  <c r="S75" i="22"/>
  <c r="S16" i="22"/>
  <c r="S24" i="22"/>
  <c r="S151" i="22"/>
  <c r="S131" i="22"/>
  <c r="S112" i="22"/>
  <c r="S15" i="22"/>
  <c r="R33" i="14"/>
  <c r="C101" i="14"/>
  <c r="B101" i="18" s="1"/>
  <c r="T78" i="14"/>
  <c r="T146" i="14"/>
  <c r="W82" i="14"/>
  <c r="T93" i="14"/>
  <c r="T81" i="14"/>
  <c r="K21" i="14"/>
  <c r="R102" i="14"/>
  <c r="AC79" i="14"/>
  <c r="D79" i="18" s="1"/>
  <c r="E79" i="18" s="1"/>
  <c r="D28" i="14"/>
  <c r="S40" i="14"/>
  <c r="R99" i="14"/>
  <c r="R64" i="14"/>
  <c r="S146" i="14"/>
  <c r="AC111" i="14"/>
  <c r="D111" i="18" s="1"/>
  <c r="E111" i="18" s="1"/>
  <c r="K103" i="14"/>
  <c r="W50" i="14"/>
  <c r="W21" i="14"/>
  <c r="K67" i="14"/>
  <c r="D167" i="14"/>
  <c r="K140" i="14"/>
  <c r="T55" i="14"/>
  <c r="D65" i="14"/>
  <c r="S159" i="14"/>
  <c r="R149" i="14"/>
  <c r="S167" i="14"/>
  <c r="S53" i="14"/>
  <c r="R42" i="14"/>
  <c r="S82" i="14"/>
  <c r="AB90" i="14"/>
  <c r="C90" i="18" s="1"/>
  <c r="D91" i="14"/>
  <c r="K97" i="14"/>
  <c r="S92" i="14"/>
  <c r="D68" i="14"/>
  <c r="R66" i="14"/>
  <c r="S42" i="14"/>
  <c r="R141" i="14"/>
  <c r="T139" i="14"/>
  <c r="T71" i="14"/>
  <c r="S28" i="14"/>
  <c r="S33" i="14"/>
  <c r="S158" i="22"/>
  <c r="S49" i="22"/>
  <c r="S95" i="22"/>
  <c r="S57" i="22"/>
  <c r="S142" i="22"/>
  <c r="S165" i="22"/>
  <c r="S160" i="22"/>
  <c r="C12" i="14"/>
  <c r="B12" i="18" s="1"/>
  <c r="AC161" i="14"/>
  <c r="D161" i="18" s="1"/>
  <c r="S63" i="14"/>
  <c r="D66" i="14"/>
  <c r="AC14" i="14"/>
  <c r="D14" i="18" s="1"/>
  <c r="K83" i="14"/>
  <c r="D81" i="14"/>
  <c r="D150" i="14"/>
  <c r="T172" i="14"/>
  <c r="R120" i="14"/>
  <c r="K81" i="14"/>
  <c r="S91" i="22"/>
  <c r="S28" i="22"/>
  <c r="R19" i="14"/>
  <c r="S127" i="22"/>
  <c r="S84" i="22"/>
  <c r="S58" i="22"/>
  <c r="S33" i="22"/>
  <c r="S35" i="22"/>
  <c r="AB110" i="14"/>
  <c r="C110" i="18" s="1"/>
  <c r="W143" i="14"/>
  <c r="T99" i="14"/>
  <c r="S118" i="14"/>
  <c r="W149" i="14"/>
  <c r="D64" i="14"/>
  <c r="D165" i="14"/>
  <c r="K113" i="14"/>
  <c r="R105" i="14"/>
  <c r="S70" i="14"/>
  <c r="S26" i="14"/>
  <c r="S164" i="22"/>
  <c r="S59" i="22"/>
  <c r="S11" i="22"/>
  <c r="R13" i="14"/>
  <c r="AB118" i="14"/>
  <c r="C118" i="18" s="1"/>
  <c r="K22" i="14"/>
  <c r="D16" i="14"/>
  <c r="S115" i="14"/>
  <c r="D102" i="14"/>
  <c r="T11" i="14"/>
  <c r="S109" i="22"/>
  <c r="S52" i="22"/>
  <c r="S50" i="22"/>
  <c r="AB56" i="14"/>
  <c r="C56" i="18" s="1"/>
  <c r="D126" i="14"/>
  <c r="AB55" i="14"/>
  <c r="C55" i="18" s="1"/>
  <c r="D82" i="14"/>
  <c r="D122" i="14"/>
  <c r="S154" i="14"/>
  <c r="K102" i="14"/>
  <c r="S29" i="14"/>
  <c r="S44" i="22"/>
  <c r="S130" i="22"/>
  <c r="S125" i="22"/>
  <c r="S171" i="22"/>
  <c r="T33" i="14"/>
  <c r="K173" i="14"/>
  <c r="S157" i="22"/>
  <c r="S106" i="22"/>
  <c r="K85" i="14"/>
  <c r="S112" i="14"/>
  <c r="K109" i="14"/>
  <c r="T20" i="14"/>
  <c r="K30" i="14"/>
  <c r="S110" i="22"/>
  <c r="D142" i="14"/>
  <c r="K160" i="14"/>
  <c r="S174" i="22"/>
  <c r="K158" i="14"/>
  <c r="S56" i="14"/>
  <c r="K144" i="14"/>
  <c r="S162" i="14"/>
  <c r="S11" i="14"/>
  <c r="S92" i="22"/>
  <c r="S39" i="22"/>
  <c r="R30" i="14"/>
  <c r="S118" i="22"/>
  <c r="K36" i="14"/>
  <c r="S51" i="14"/>
  <c r="T119" i="14"/>
  <c r="W35" i="14"/>
  <c r="D38" i="14"/>
  <c r="S32" i="22"/>
  <c r="S143" i="22"/>
  <c r="S38" i="22"/>
  <c r="S103" i="22"/>
  <c r="AB83" i="14"/>
  <c r="C83" i="18" s="1"/>
  <c r="R135" i="14"/>
  <c r="T51" i="14"/>
  <c r="S108" i="14"/>
  <c r="W44" i="14"/>
  <c r="R157" i="14"/>
  <c r="R58" i="14"/>
  <c r="S126" i="22"/>
  <c r="S56" i="22"/>
  <c r="S51" i="22"/>
  <c r="S161" i="22"/>
  <c r="S54" i="22"/>
  <c r="S119" i="22"/>
  <c r="S34" i="22"/>
  <c r="S168" i="22"/>
  <c r="C110" i="14"/>
  <c r="B110" i="18" s="1"/>
  <c r="T70" i="14"/>
  <c r="K41" i="14"/>
  <c r="T63" i="14"/>
  <c r="S128" i="14"/>
  <c r="AB49" i="14"/>
  <c r="C49" i="18" s="1"/>
  <c r="S166" i="14"/>
  <c r="R22" i="14"/>
  <c r="R16" i="14"/>
  <c r="S102" i="22"/>
  <c r="W146" i="14"/>
  <c r="S119" i="14"/>
  <c r="S74" i="14"/>
  <c r="AB71" i="14"/>
  <c r="C71" i="18" s="1"/>
  <c r="D55" i="14"/>
  <c r="T43" i="14"/>
  <c r="R65" i="14"/>
  <c r="D123" i="14"/>
  <c r="S168" i="14"/>
  <c r="R43" i="14"/>
  <c r="AB11" i="14"/>
  <c r="C11" i="18" s="1"/>
  <c r="S30" i="22"/>
  <c r="S169" i="22"/>
  <c r="S149" i="22"/>
  <c r="S117" i="22"/>
  <c r="S42" i="22"/>
  <c r="S79" i="22"/>
  <c r="C11" i="14"/>
  <c r="B11" i="18" s="1"/>
  <c r="T15" i="14"/>
  <c r="S59" i="14"/>
  <c r="D166" i="14"/>
  <c r="S12" i="14"/>
  <c r="C16" i="14"/>
  <c r="B16" i="18" s="1"/>
  <c r="R26" i="14"/>
  <c r="AB10" i="14"/>
  <c r="C10" i="18" s="1"/>
  <c r="AB15" i="14"/>
  <c r="C15" i="18" s="1"/>
  <c r="T123" i="14"/>
  <c r="S65" i="22"/>
  <c r="C26" i="14"/>
  <c r="B26" i="18" s="1"/>
  <c r="S167" i="22"/>
  <c r="C13" i="14"/>
  <c r="B13" i="18" s="1"/>
  <c r="D47" i="14"/>
  <c r="W111" i="14"/>
  <c r="D53" i="14"/>
  <c r="S18" i="14"/>
  <c r="S129" i="22"/>
  <c r="T157" i="14"/>
  <c r="R48" i="14"/>
  <c r="K28" i="14"/>
  <c r="R63" i="14"/>
  <c r="D85" i="14"/>
  <c r="S166" i="22"/>
  <c r="S138" i="22"/>
  <c r="S145" i="22"/>
  <c r="S124" i="22"/>
  <c r="S175" i="22"/>
  <c r="D119" i="14"/>
  <c r="S89" i="14"/>
  <c r="S21" i="22"/>
  <c r="C22" i="14"/>
  <c r="B22" i="18" s="1"/>
  <c r="AC13" i="14"/>
  <c r="D13" i="18" s="1"/>
  <c r="K98" i="14"/>
  <c r="R159" i="14"/>
  <c r="D133" i="14"/>
  <c r="K90" i="14"/>
  <c r="S31" i="14"/>
  <c r="S146" i="22"/>
  <c r="S83" i="22"/>
  <c r="R32" i="14"/>
  <c r="S27" i="22"/>
  <c r="D90" i="14"/>
  <c r="K135" i="14"/>
  <c r="R37" i="14"/>
  <c r="K80" i="14"/>
  <c r="S23" i="14"/>
  <c r="S64" i="22"/>
  <c r="R20" i="14"/>
  <c r="S176" i="22"/>
  <c r="S77" i="22"/>
  <c r="D136" i="14"/>
  <c r="R79" i="14"/>
  <c r="K45" i="14"/>
  <c r="S151" i="14"/>
  <c r="K151" i="14"/>
  <c r="S90" i="14"/>
  <c r="C27" i="14"/>
  <c r="B27" i="18" s="1"/>
  <c r="S135" i="22"/>
  <c r="S104" i="22"/>
  <c r="S26" i="22"/>
  <c r="W174" i="14"/>
  <c r="S111" i="14"/>
  <c r="K82" i="14"/>
  <c r="C28" i="14"/>
  <c r="B28" i="18" s="1"/>
  <c r="C71" i="14"/>
  <c r="B71" i="18" s="1"/>
  <c r="W86" i="14"/>
  <c r="K32" i="14"/>
  <c r="R93" i="14"/>
  <c r="K161" i="14"/>
  <c r="R125" i="14"/>
  <c r="S82" i="22"/>
  <c r="S159" i="22"/>
  <c r="R107" i="14"/>
  <c r="S86" i="14"/>
  <c r="R17" i="14"/>
  <c r="AC15" i="14"/>
  <c r="D15" i="18" s="1"/>
  <c r="AB19" i="14"/>
  <c r="C19" i="18" s="1"/>
  <c r="S81" i="14"/>
  <c r="K145" i="14"/>
  <c r="R170" i="14"/>
  <c r="R97" i="14"/>
  <c r="R14" i="14"/>
  <c r="S128" i="22"/>
  <c r="S115" i="22"/>
  <c r="S31" i="22"/>
  <c r="AB162" i="14"/>
  <c r="C162" i="18" s="1"/>
  <c r="D141" i="14"/>
  <c r="AB74" i="14"/>
  <c r="C74" i="18" s="1"/>
  <c r="R87" i="14"/>
  <c r="R174" i="14"/>
  <c r="S94" i="22"/>
  <c r="R27" i="14"/>
  <c r="S116" i="22"/>
  <c r="S45" i="22"/>
  <c r="S100" i="22"/>
  <c r="S48" i="14"/>
  <c r="D107" i="14"/>
  <c r="S61" i="14"/>
  <c r="T155" i="14"/>
  <c r="AB77" i="14"/>
  <c r="C77" i="18" s="1"/>
  <c r="D100" i="14"/>
  <c r="R152" i="14"/>
  <c r="S148" i="22"/>
  <c r="S13" i="22"/>
  <c r="C33" i="14"/>
  <c r="B33" i="18" s="1"/>
  <c r="S87" i="22"/>
  <c r="S20" i="22"/>
  <c r="S12" i="22"/>
  <c r="C25" i="14"/>
  <c r="B25" i="18" s="1"/>
  <c r="S93" i="22"/>
  <c r="AC42" i="14"/>
  <c r="D42" i="18" s="1"/>
  <c r="D18" i="14"/>
  <c r="S68" i="14"/>
  <c r="K92" i="14"/>
  <c r="D106" i="14"/>
  <c r="K94" i="14"/>
  <c r="C10" i="14"/>
  <c r="B10" i="18" s="1"/>
  <c r="S122" i="22"/>
  <c r="R18" i="14"/>
  <c r="AC121" i="14"/>
  <c r="D121" i="18" s="1"/>
  <c r="E121" i="18" s="1"/>
  <c r="AB160" i="14"/>
  <c r="C160" i="18" s="1"/>
  <c r="D92" i="14"/>
  <c r="AB161" i="14"/>
  <c r="C161" i="18" s="1"/>
  <c r="W166" i="14"/>
  <c r="D128" i="14"/>
  <c r="S153" i="14"/>
  <c r="R121" i="14"/>
  <c r="S109" i="14"/>
  <c r="D84" i="14"/>
  <c r="S27" i="14"/>
  <c r="R12" i="14"/>
  <c r="S48" i="22"/>
  <c r="C24" i="14"/>
  <c r="B24" i="18" s="1"/>
  <c r="K11" i="14"/>
  <c r="S86" i="22"/>
  <c r="S62" i="22"/>
  <c r="C29" i="14"/>
  <c r="B29" i="18" s="1"/>
  <c r="AC135" i="14"/>
  <c r="D135" i="18" s="1"/>
  <c r="E135" i="18" s="1"/>
  <c r="S144" i="14"/>
  <c r="AC31" i="14"/>
  <c r="D31" i="18" s="1"/>
  <c r="K65" i="14"/>
  <c r="S101" i="22"/>
  <c r="S29" i="22"/>
  <c r="S136" i="22"/>
  <c r="AC16" i="14"/>
  <c r="D16" i="18" s="1"/>
  <c r="AC10" i="14"/>
  <c r="D10" i="18" s="1"/>
  <c r="C15" i="14"/>
  <c r="B15" i="18" s="1"/>
  <c r="S156" i="22"/>
  <c r="S137" i="22"/>
  <c r="S134" i="22"/>
  <c r="W139" i="14"/>
  <c r="R76" i="14"/>
  <c r="AB16" i="14"/>
  <c r="C16" i="18" s="1"/>
  <c r="R84" i="14"/>
  <c r="S140" i="22"/>
  <c r="AB165" i="14"/>
  <c r="C165" i="18" s="1"/>
  <c r="S60" i="14"/>
  <c r="AB64" i="14"/>
  <c r="C64" i="18" s="1"/>
  <c r="AB33" i="14"/>
  <c r="C33" i="18" s="1"/>
  <c r="D132" i="14"/>
  <c r="C14" i="14"/>
  <c r="B14" i="18" s="1"/>
  <c r="S108" i="22"/>
  <c r="S46" i="22"/>
  <c r="S41" i="22"/>
  <c r="S163" i="22"/>
  <c r="S25" i="22"/>
  <c r="S69" i="22"/>
  <c r="AC164" i="14"/>
  <c r="D164" i="18" s="1"/>
  <c r="E164" i="18" s="1"/>
  <c r="AB137" i="14"/>
  <c r="C137" i="18" s="1"/>
  <c r="S141" i="22"/>
  <c r="S173" i="22"/>
  <c r="E60" i="18" l="1"/>
  <c r="E51" i="18"/>
  <c r="E18" i="18"/>
  <c r="E47" i="18"/>
  <c r="E42" i="18"/>
  <c r="E39" i="18"/>
  <c r="E40" i="18"/>
  <c r="E38" i="18"/>
  <c r="E32" i="18"/>
  <c r="E31" i="18"/>
  <c r="E29" i="18"/>
  <c r="E27" i="18"/>
  <c r="E22" i="18"/>
  <c r="E15" i="18"/>
  <c r="E14" i="18"/>
  <c r="E13" i="18"/>
  <c r="E10" i="18"/>
  <c r="B105" i="20"/>
  <c r="E200" i="18"/>
  <c r="E206" i="18"/>
  <c r="E201" i="18"/>
  <c r="E207" i="18"/>
  <c r="E28" i="18"/>
  <c r="E151" i="18"/>
  <c r="E191" i="18"/>
  <c r="E181" i="18"/>
  <c r="E189" i="18"/>
  <c r="E174" i="18"/>
  <c r="E104" i="18"/>
  <c r="E139" i="18"/>
  <c r="E63" i="18"/>
  <c r="E202" i="18"/>
  <c r="E208" i="18"/>
  <c r="E203" i="18"/>
  <c r="E16" i="18"/>
  <c r="E144" i="18"/>
  <c r="E11" i="18"/>
  <c r="E110" i="18"/>
  <c r="E145" i="18"/>
  <c r="E58" i="18"/>
  <c r="E46" i="18"/>
  <c r="E64" i="18"/>
  <c r="E26" i="18"/>
  <c r="E172" i="18"/>
  <c r="E17" i="18"/>
  <c r="E167" i="18"/>
  <c r="E25" i="18"/>
  <c r="E23" i="18"/>
  <c r="E83" i="18"/>
  <c r="E162" i="18"/>
  <c r="E65" i="18"/>
  <c r="E128" i="18"/>
  <c r="E88" i="18"/>
  <c r="E112" i="18"/>
  <c r="E35" i="18"/>
  <c r="E140" i="18"/>
  <c r="E54" i="18"/>
  <c r="E33" i="18"/>
  <c r="E53" i="18"/>
  <c r="E20" i="18"/>
  <c r="E114" i="18"/>
  <c r="E193" i="18"/>
  <c r="E183" i="18"/>
  <c r="E198" i="18"/>
  <c r="E188" i="18"/>
  <c r="E178" i="18"/>
  <c r="E161" i="18"/>
  <c r="E59" i="18"/>
  <c r="E125" i="18"/>
  <c r="E106" i="18"/>
  <c r="E55" i="18"/>
  <c r="E108" i="18"/>
  <c r="E70" i="18"/>
  <c r="E146" i="18"/>
  <c r="E136" i="18"/>
  <c r="E48" i="18"/>
  <c r="E98" i="18"/>
  <c r="E154" i="18"/>
  <c r="E69" i="18"/>
  <c r="E56" i="18"/>
  <c r="E37" i="18"/>
  <c r="E82" i="18"/>
  <c r="E101" i="18"/>
  <c r="E171" i="18"/>
  <c r="E192" i="18"/>
  <c r="E87" i="18"/>
  <c r="E52" i="18"/>
  <c r="E190" i="18"/>
  <c r="E180" i="18"/>
  <c r="E204" i="18"/>
  <c r="E90" i="18"/>
  <c r="E160" i="18"/>
  <c r="E49" i="18"/>
  <c r="E97" i="18"/>
  <c r="E57" i="18"/>
  <c r="E67" i="18"/>
  <c r="E105" i="18"/>
  <c r="E169" i="18"/>
  <c r="E73" i="18"/>
  <c r="E137" i="18"/>
  <c r="E74" i="18"/>
  <c r="E109" i="18"/>
  <c r="E165" i="18"/>
  <c r="E91" i="18"/>
  <c r="E89" i="18"/>
  <c r="E153" i="18"/>
  <c r="E122" i="18"/>
  <c r="E155" i="18"/>
  <c r="E115" i="18"/>
  <c r="E72" i="18"/>
  <c r="E102" i="18"/>
  <c r="E30" i="18"/>
  <c r="E21" i="18"/>
  <c r="E177" i="18"/>
  <c r="E184" i="18"/>
  <c r="E156" i="18"/>
  <c r="E131" i="18"/>
  <c r="E199" i="18"/>
  <c r="E182" i="18"/>
  <c r="E179" i="18"/>
  <c r="E194" i="18"/>
  <c r="E205" i="18"/>
  <c r="E41" i="18"/>
  <c r="E19" i="18"/>
  <c r="E77" i="18"/>
  <c r="E34" i="18"/>
  <c r="E92" i="18"/>
  <c r="E107" i="18"/>
  <c r="E103" i="18"/>
  <c r="E43" i="18"/>
  <c r="E133" i="18"/>
  <c r="E173" i="18"/>
  <c r="E147" i="18"/>
  <c r="E150" i="18"/>
  <c r="E93" i="18"/>
  <c r="E71" i="18"/>
  <c r="E118" i="18"/>
  <c r="E117" i="18"/>
  <c r="E157" i="18"/>
  <c r="E45" i="18"/>
  <c r="E113" i="18"/>
  <c r="E119" i="18"/>
  <c r="E143" i="18"/>
  <c r="E130" i="18"/>
  <c r="E86" i="18"/>
  <c r="E96" i="18"/>
  <c r="E176" i="18"/>
  <c r="E50" i="18"/>
  <c r="E196" i="18"/>
  <c r="E186" i="18"/>
  <c r="E209" i="18"/>
  <c r="C65" i="20"/>
  <c r="E65" i="20"/>
  <c r="AH70" i="14"/>
  <c r="D65" i="20"/>
  <c r="B65" i="20"/>
  <c r="E15" i="20"/>
  <c r="AH20" i="14"/>
  <c r="B15" i="20"/>
  <c r="D15" i="20"/>
  <c r="C15" i="20"/>
  <c r="B66" i="20"/>
  <c r="AH71" i="14"/>
  <c r="C66" i="20"/>
  <c r="D66" i="20"/>
  <c r="E66" i="20"/>
  <c r="D141" i="20"/>
  <c r="AH146" i="14"/>
  <c r="E141" i="20"/>
  <c r="B141" i="20"/>
  <c r="C141" i="20"/>
  <c r="C165" i="20"/>
  <c r="D165" i="20"/>
  <c r="B165" i="20"/>
  <c r="E165" i="20"/>
  <c r="AH170" i="14"/>
  <c r="C129" i="20"/>
  <c r="B129" i="20"/>
  <c r="E129" i="20"/>
  <c r="D129" i="20"/>
  <c r="AH134" i="14"/>
  <c r="E156" i="20"/>
  <c r="B156" i="20"/>
  <c r="AH161" i="14"/>
  <c r="C156" i="20"/>
  <c r="D156" i="20"/>
  <c r="E139" i="20"/>
  <c r="B139" i="20"/>
  <c r="C139" i="20"/>
  <c r="AH144" i="14"/>
  <c r="D139" i="20"/>
  <c r="D86" i="20"/>
  <c r="B86" i="20"/>
  <c r="C86" i="20"/>
  <c r="AH91" i="14"/>
  <c r="E86" i="20"/>
  <c r="AH131" i="14"/>
  <c r="D126" i="20"/>
  <c r="C126" i="20"/>
  <c r="B126" i="20"/>
  <c r="E126" i="20"/>
  <c r="C102" i="20"/>
  <c r="E102" i="20"/>
  <c r="B102" i="20"/>
  <c r="D102" i="20"/>
  <c r="AH107" i="14"/>
  <c r="D69" i="20"/>
  <c r="B69" i="20"/>
  <c r="C69" i="20"/>
  <c r="E69" i="20"/>
  <c r="AH74" i="14"/>
  <c r="D53" i="20"/>
  <c r="C53" i="20"/>
  <c r="AH58" i="14"/>
  <c r="B53" i="20"/>
  <c r="E53" i="20"/>
  <c r="B77" i="20"/>
  <c r="C77" i="20"/>
  <c r="E77" i="20"/>
  <c r="AH82" i="14"/>
  <c r="D77" i="20"/>
  <c r="C13" i="20"/>
  <c r="B13" i="20"/>
  <c r="D13" i="20"/>
  <c r="AH18" i="14"/>
  <c r="E13" i="20"/>
  <c r="B60" i="20"/>
  <c r="C60" i="20"/>
  <c r="D60" i="20"/>
  <c r="E60" i="20"/>
  <c r="AH65" i="14"/>
  <c r="D127" i="20"/>
  <c r="AH132" i="14"/>
  <c r="C127" i="20"/>
  <c r="B127" i="20"/>
  <c r="E127" i="20"/>
  <c r="D34" i="20"/>
  <c r="C34" i="20"/>
  <c r="B34" i="20"/>
  <c r="E34" i="20"/>
  <c r="AH39" i="14"/>
  <c r="AH167" i="14"/>
  <c r="C162" i="20"/>
  <c r="B162" i="20"/>
  <c r="E162" i="20"/>
  <c r="D162" i="20"/>
  <c r="D75" i="20"/>
  <c r="AH80" i="14"/>
  <c r="C75" i="20"/>
  <c r="B75" i="20"/>
  <c r="E75" i="20"/>
  <c r="C11" i="20"/>
  <c r="B11" i="20"/>
  <c r="AH16" i="14"/>
  <c r="D11" i="20"/>
  <c r="E11" i="20"/>
  <c r="B136" i="20"/>
  <c r="E136" i="20"/>
  <c r="D136" i="20"/>
  <c r="AH141" i="14"/>
  <c r="C136" i="20"/>
  <c r="E125" i="20"/>
  <c r="D125" i="20"/>
  <c r="AH130" i="14"/>
  <c r="C125" i="20"/>
  <c r="B125" i="20"/>
  <c r="B106" i="20"/>
  <c r="AH111" i="14"/>
  <c r="E106" i="20"/>
  <c r="C106" i="20"/>
  <c r="D106" i="20"/>
  <c r="E35" i="20"/>
  <c r="D35" i="20"/>
  <c r="C35" i="20"/>
  <c r="B35" i="20"/>
  <c r="AH40" i="14"/>
  <c r="AH166" i="14"/>
  <c r="C161" i="20"/>
  <c r="E161" i="20"/>
  <c r="D161" i="20"/>
  <c r="B161" i="20"/>
  <c r="C91" i="20"/>
  <c r="D91" i="20"/>
  <c r="E91" i="20"/>
  <c r="B91" i="20"/>
  <c r="AH96" i="14"/>
  <c r="D128" i="20"/>
  <c r="E128" i="20"/>
  <c r="B128" i="20"/>
  <c r="C128" i="20"/>
  <c r="AH133" i="14"/>
  <c r="AH151" i="14"/>
  <c r="C146" i="20"/>
  <c r="D146" i="20"/>
  <c r="B146" i="20"/>
  <c r="E146" i="20"/>
  <c r="D12" i="20"/>
  <c r="E12" i="20"/>
  <c r="C12" i="20"/>
  <c r="AH17" i="14"/>
  <c r="B12" i="20"/>
  <c r="AH77" i="14"/>
  <c r="E72" i="20"/>
  <c r="C72" i="20"/>
  <c r="D72" i="20"/>
  <c r="B72" i="20"/>
  <c r="B61" i="20"/>
  <c r="AH66" i="14"/>
  <c r="E61" i="20"/>
  <c r="C61" i="20"/>
  <c r="D61" i="20"/>
  <c r="D80" i="20"/>
  <c r="E80" i="20"/>
  <c r="C80" i="20"/>
  <c r="AH85" i="14"/>
  <c r="B80" i="20"/>
  <c r="E148" i="20"/>
  <c r="AH153" i="14"/>
  <c r="C148" i="20"/>
  <c r="B148" i="20"/>
  <c r="D148" i="20"/>
  <c r="AH97" i="14"/>
  <c r="B92" i="20"/>
  <c r="C92" i="20"/>
  <c r="E92" i="20"/>
  <c r="D92" i="20"/>
  <c r="E74" i="20"/>
  <c r="B74" i="20"/>
  <c r="D74" i="20"/>
  <c r="AH79" i="14"/>
  <c r="C74" i="20"/>
  <c r="B93" i="20"/>
  <c r="C93" i="20"/>
  <c r="D93" i="20"/>
  <c r="E93" i="20"/>
  <c r="AH98" i="14"/>
  <c r="C135" i="20"/>
  <c r="D135" i="20"/>
  <c r="B135" i="20"/>
  <c r="AH140" i="14"/>
  <c r="E135" i="20"/>
  <c r="C112" i="20"/>
  <c r="AH117" i="14"/>
  <c r="D112" i="20"/>
  <c r="E112" i="20"/>
  <c r="B112" i="20"/>
  <c r="E89" i="20"/>
  <c r="B89" i="20"/>
  <c r="AH94" i="14"/>
  <c r="C89" i="20"/>
  <c r="D89" i="20"/>
  <c r="B120" i="20"/>
  <c r="AH125" i="14"/>
  <c r="C120" i="20"/>
  <c r="D120" i="20"/>
  <c r="E120" i="20"/>
  <c r="C109" i="20"/>
  <c r="E109" i="20"/>
  <c r="B109" i="20"/>
  <c r="AH114" i="14"/>
  <c r="D109" i="20"/>
  <c r="D81" i="20"/>
  <c r="AH86" i="14"/>
  <c r="B81" i="20"/>
  <c r="E81" i="20"/>
  <c r="C81" i="20"/>
  <c r="AH56" i="14"/>
  <c r="B51" i="20"/>
  <c r="D51" i="20"/>
  <c r="C51" i="20"/>
  <c r="E51" i="20"/>
  <c r="E52" i="20"/>
  <c r="C52" i="20"/>
  <c r="D52" i="20"/>
  <c r="AH57" i="14"/>
  <c r="B52" i="20"/>
  <c r="B175" i="20"/>
  <c r="D175" i="20"/>
  <c r="AH180" i="14"/>
  <c r="E175" i="20"/>
  <c r="C175" i="20"/>
  <c r="C173" i="20"/>
  <c r="D173" i="20"/>
  <c r="AH178" i="14"/>
  <c r="B173" i="20"/>
  <c r="E173" i="20"/>
  <c r="D182" i="20"/>
  <c r="B182" i="20"/>
  <c r="AH187" i="14"/>
  <c r="E182" i="20"/>
  <c r="C182" i="20"/>
  <c r="B204" i="20"/>
  <c r="AH209" i="14"/>
  <c r="D204" i="20"/>
  <c r="C204" i="20"/>
  <c r="E204" i="20"/>
  <c r="B193" i="20"/>
  <c r="D193" i="20"/>
  <c r="AH198" i="14"/>
  <c r="E193" i="20"/>
  <c r="C193" i="20"/>
  <c r="D202" i="20"/>
  <c r="C202" i="20"/>
  <c r="E202" i="20"/>
  <c r="AH207" i="14"/>
  <c r="B202" i="20"/>
  <c r="C195" i="20"/>
  <c r="D195" i="20"/>
  <c r="AH200" i="14"/>
  <c r="E195" i="20"/>
  <c r="B195" i="20"/>
  <c r="AH15" i="14"/>
  <c r="C10" i="20"/>
  <c r="E10" i="20"/>
  <c r="D10" i="20"/>
  <c r="B10" i="20"/>
  <c r="B94" i="20"/>
  <c r="D94" i="20"/>
  <c r="AH99" i="14"/>
  <c r="C94" i="20"/>
  <c r="E94" i="20"/>
  <c r="AH55" i="14"/>
  <c r="C50" i="20"/>
  <c r="D50" i="20"/>
  <c r="E50" i="20"/>
  <c r="B50" i="20"/>
  <c r="B76" i="20"/>
  <c r="E76" i="20"/>
  <c r="C76" i="20"/>
  <c r="AH81" i="14"/>
  <c r="D76" i="20"/>
  <c r="C47" i="20"/>
  <c r="AH52" i="14"/>
  <c r="D47" i="20"/>
  <c r="B47" i="20"/>
  <c r="E47" i="20"/>
  <c r="AH138" i="14"/>
  <c r="D133" i="20"/>
  <c r="C133" i="20"/>
  <c r="E133" i="20"/>
  <c r="B133" i="20"/>
  <c r="AH171" i="14"/>
  <c r="C166" i="20"/>
  <c r="B166" i="20"/>
  <c r="E166" i="20"/>
  <c r="D166" i="20"/>
  <c r="D143" i="20"/>
  <c r="E143" i="20"/>
  <c r="B143" i="20"/>
  <c r="C143" i="20"/>
  <c r="AH148" i="14"/>
  <c r="C54" i="20"/>
  <c r="B54" i="20"/>
  <c r="D54" i="20"/>
  <c r="AH59" i="14"/>
  <c r="E54" i="20"/>
  <c r="E79" i="20"/>
  <c r="D79" i="20"/>
  <c r="C79" i="20"/>
  <c r="AH84" i="14"/>
  <c r="B79" i="20"/>
  <c r="E144" i="20"/>
  <c r="C144" i="20"/>
  <c r="D144" i="20"/>
  <c r="AH149" i="14"/>
  <c r="B144" i="20"/>
  <c r="B163" i="20"/>
  <c r="C163" i="20"/>
  <c r="AH168" i="14"/>
  <c r="E163" i="20"/>
  <c r="D163" i="20"/>
  <c r="B111" i="20"/>
  <c r="E111" i="20"/>
  <c r="C111" i="20"/>
  <c r="D111" i="20"/>
  <c r="AH116" i="14"/>
  <c r="E113" i="20"/>
  <c r="C113" i="20"/>
  <c r="AH118" i="14"/>
  <c r="D113" i="20"/>
  <c r="B113" i="20"/>
  <c r="D155" i="20"/>
  <c r="C155" i="20"/>
  <c r="AH160" i="14"/>
  <c r="E155" i="20"/>
  <c r="B155" i="20"/>
  <c r="AH83" i="14"/>
  <c r="E78" i="20"/>
  <c r="D78" i="20"/>
  <c r="C78" i="20"/>
  <c r="B78" i="20"/>
  <c r="C169" i="20"/>
  <c r="E169" i="20"/>
  <c r="B169" i="20"/>
  <c r="D169" i="20"/>
  <c r="AH174" i="14"/>
  <c r="D184" i="20"/>
  <c r="E184" i="20"/>
  <c r="AH189" i="14"/>
  <c r="B184" i="20"/>
  <c r="C184" i="20"/>
  <c r="C90" i="20"/>
  <c r="AH95" i="14"/>
  <c r="E90" i="20"/>
  <c r="D90" i="20"/>
  <c r="B90" i="20"/>
  <c r="B42" i="20"/>
  <c r="D42" i="20"/>
  <c r="AH47" i="14"/>
  <c r="C42" i="20"/>
  <c r="E42" i="20"/>
  <c r="D105" i="20"/>
  <c r="E105" i="20"/>
  <c r="C105" i="20"/>
  <c r="AH110" i="14"/>
  <c r="D191" i="20"/>
  <c r="E191" i="20"/>
  <c r="AH196" i="14"/>
  <c r="B191" i="20"/>
  <c r="C191" i="20"/>
  <c r="AH128" i="14"/>
  <c r="D123" i="20"/>
  <c r="E123" i="20"/>
  <c r="C123" i="20"/>
  <c r="B123" i="20"/>
  <c r="E68" i="20"/>
  <c r="B68" i="20"/>
  <c r="D68" i="20"/>
  <c r="C68" i="20"/>
  <c r="AH73" i="14"/>
  <c r="E107" i="20"/>
  <c r="AH112" i="14"/>
  <c r="D107" i="20"/>
  <c r="B107" i="20"/>
  <c r="C107" i="20"/>
  <c r="B20" i="20"/>
  <c r="E20" i="20"/>
  <c r="D20" i="20"/>
  <c r="C20" i="20"/>
  <c r="AH25" i="14"/>
  <c r="E21" i="20"/>
  <c r="C21" i="20"/>
  <c r="AH26" i="14"/>
  <c r="D21" i="20"/>
  <c r="B21" i="20"/>
  <c r="B168" i="20"/>
  <c r="AH173" i="14"/>
  <c r="C168" i="20"/>
  <c r="D168" i="20"/>
  <c r="E168" i="20"/>
  <c r="C29" i="20"/>
  <c r="AH34" i="14"/>
  <c r="D29" i="20"/>
  <c r="E29" i="20"/>
  <c r="B29" i="20"/>
  <c r="B71" i="20"/>
  <c r="E71" i="20"/>
  <c r="C71" i="20"/>
  <c r="D71" i="20"/>
  <c r="AH76" i="14"/>
  <c r="AH53" i="14"/>
  <c r="C48" i="20"/>
  <c r="D48" i="20"/>
  <c r="B48" i="20"/>
  <c r="E48" i="20"/>
  <c r="C25" i="20"/>
  <c r="AH30" i="14"/>
  <c r="D25" i="20"/>
  <c r="B25" i="20"/>
  <c r="E25" i="20"/>
  <c r="AH191" i="14"/>
  <c r="B186" i="20"/>
  <c r="C186" i="20"/>
  <c r="D186" i="20"/>
  <c r="E186" i="20"/>
  <c r="E183" i="20"/>
  <c r="AH188" i="14"/>
  <c r="B183" i="20"/>
  <c r="C183" i="20"/>
  <c r="D183" i="20"/>
  <c r="D190" i="20"/>
  <c r="E190" i="20"/>
  <c r="AH195" i="14"/>
  <c r="B190" i="20"/>
  <c r="C190" i="20"/>
  <c r="B177" i="20"/>
  <c r="D177" i="20"/>
  <c r="C177" i="20"/>
  <c r="AH182" i="14"/>
  <c r="E177" i="20"/>
  <c r="D198" i="20"/>
  <c r="AH203" i="14"/>
  <c r="B198" i="20"/>
  <c r="E198" i="20"/>
  <c r="C198" i="20"/>
  <c r="E203" i="20"/>
  <c r="B203" i="20"/>
  <c r="AH208" i="14"/>
  <c r="C203" i="20"/>
  <c r="D203" i="20"/>
  <c r="C118" i="20"/>
  <c r="E118" i="20"/>
  <c r="D118" i="20"/>
  <c r="B118" i="20"/>
  <c r="AH123" i="14"/>
  <c r="E134" i="20"/>
  <c r="AH139" i="14"/>
  <c r="D134" i="20"/>
  <c r="C134" i="20"/>
  <c r="B134" i="20"/>
  <c r="AH78" i="14"/>
  <c r="B73" i="20"/>
  <c r="E73" i="20"/>
  <c r="D73" i="20"/>
  <c r="C73" i="20"/>
  <c r="AH13" i="14"/>
  <c r="C8" i="20"/>
  <c r="E8" i="20"/>
  <c r="D8" i="20"/>
  <c r="B8" i="20"/>
  <c r="D150" i="20"/>
  <c r="B150" i="20"/>
  <c r="AH155" i="14"/>
  <c r="E150" i="20"/>
  <c r="C150" i="20"/>
  <c r="AH43" i="14"/>
  <c r="B38" i="20"/>
  <c r="C38" i="20"/>
  <c r="D38" i="20"/>
  <c r="E38" i="20"/>
  <c r="C58" i="20"/>
  <c r="D58" i="20"/>
  <c r="E58" i="20"/>
  <c r="AH63" i="14"/>
  <c r="B58" i="20"/>
  <c r="B46" i="20"/>
  <c r="E46" i="20"/>
  <c r="D46" i="20"/>
  <c r="AH51" i="14"/>
  <c r="C46" i="20"/>
  <c r="B167" i="20"/>
  <c r="C167" i="20"/>
  <c r="AH172" i="14"/>
  <c r="E167" i="20"/>
  <c r="D167" i="20"/>
  <c r="AH93" i="14"/>
  <c r="E88" i="20"/>
  <c r="B88" i="20"/>
  <c r="D88" i="20"/>
  <c r="C88" i="20"/>
  <c r="AH67" i="14"/>
  <c r="D62" i="20"/>
  <c r="C62" i="20"/>
  <c r="B62" i="20"/>
  <c r="E62" i="20"/>
  <c r="D124" i="20"/>
  <c r="AH129" i="14"/>
  <c r="C124" i="20"/>
  <c r="B124" i="20"/>
  <c r="E124" i="20"/>
  <c r="AH163" i="14"/>
  <c r="C158" i="20"/>
  <c r="B158" i="20"/>
  <c r="D158" i="20"/>
  <c r="E158" i="20"/>
  <c r="AH122" i="14"/>
  <c r="E117" i="20"/>
  <c r="B117" i="20"/>
  <c r="D117" i="20"/>
  <c r="C117" i="20"/>
  <c r="D84" i="20"/>
  <c r="B84" i="20"/>
  <c r="E84" i="20"/>
  <c r="C84" i="20"/>
  <c r="AH89" i="14"/>
  <c r="E101" i="20"/>
  <c r="AH106" i="14"/>
  <c r="B101" i="20"/>
  <c r="D101" i="20"/>
  <c r="C101" i="20"/>
  <c r="C49" i="20"/>
  <c r="AH54" i="14"/>
  <c r="B49" i="20"/>
  <c r="D49" i="20"/>
  <c r="E49" i="20"/>
  <c r="C108" i="20"/>
  <c r="D108" i="20"/>
  <c r="E108" i="20"/>
  <c r="B108" i="20"/>
  <c r="AH113" i="14"/>
  <c r="E14" i="20"/>
  <c r="B14" i="20"/>
  <c r="AH19" i="14"/>
  <c r="C14" i="20"/>
  <c r="D14" i="20"/>
  <c r="E24" i="20"/>
  <c r="AH29" i="14"/>
  <c r="B24" i="20"/>
  <c r="C24" i="20"/>
  <c r="D24" i="20"/>
  <c r="D151" i="20"/>
  <c r="B151" i="20"/>
  <c r="AH156" i="14"/>
  <c r="E151" i="20"/>
  <c r="C151" i="20"/>
  <c r="D5" i="20"/>
  <c r="E5" i="20"/>
  <c r="C5" i="20"/>
  <c r="B5" i="20"/>
  <c r="D70" i="20"/>
  <c r="C70" i="20"/>
  <c r="AH75" i="14"/>
  <c r="B70" i="20"/>
  <c r="E70" i="20"/>
  <c r="E44" i="20"/>
  <c r="AH49" i="14"/>
  <c r="B44" i="20"/>
  <c r="C44" i="20"/>
  <c r="D44" i="20"/>
  <c r="AH143" i="14"/>
  <c r="E138" i="20"/>
  <c r="C138" i="20"/>
  <c r="B138" i="20"/>
  <c r="D138" i="20"/>
  <c r="C103" i="20"/>
  <c r="AH108" i="14"/>
  <c r="D103" i="20"/>
  <c r="E103" i="20"/>
  <c r="B103" i="20"/>
  <c r="B30" i="20"/>
  <c r="C30" i="20"/>
  <c r="AH35" i="14"/>
  <c r="E30" i="20"/>
  <c r="D30" i="20"/>
  <c r="B9" i="20"/>
  <c r="C9" i="20"/>
  <c r="D9" i="20"/>
  <c r="E9" i="20"/>
  <c r="AH14" i="14"/>
  <c r="AH154" i="14"/>
  <c r="D149" i="20"/>
  <c r="B149" i="20"/>
  <c r="E149" i="20"/>
  <c r="C149" i="20"/>
  <c r="C82" i="20"/>
  <c r="B82" i="20"/>
  <c r="D82" i="20"/>
  <c r="AH87" i="14"/>
  <c r="E82" i="20"/>
  <c r="D56" i="20"/>
  <c r="C56" i="20"/>
  <c r="B56" i="20"/>
  <c r="AH61" i="14"/>
  <c r="E56" i="20"/>
  <c r="D45" i="20"/>
  <c r="C45" i="20"/>
  <c r="AH50" i="14"/>
  <c r="B45" i="20"/>
  <c r="E45" i="20"/>
  <c r="B16" i="20"/>
  <c r="E16" i="20"/>
  <c r="AH21" i="14"/>
  <c r="D16" i="20"/>
  <c r="C16" i="20"/>
  <c r="D17" i="20"/>
  <c r="C17" i="20"/>
  <c r="B17" i="20"/>
  <c r="E17" i="20"/>
  <c r="AH22" i="14"/>
  <c r="AH31" i="14"/>
  <c r="D26" i="20"/>
  <c r="E26" i="20"/>
  <c r="B26" i="20"/>
  <c r="C26" i="20"/>
  <c r="B137" i="20"/>
  <c r="AH142" i="14"/>
  <c r="C137" i="20"/>
  <c r="E137" i="20"/>
  <c r="D137" i="20"/>
  <c r="E31" i="20"/>
  <c r="D31" i="20"/>
  <c r="C31" i="20"/>
  <c r="B31" i="20"/>
  <c r="AH36" i="14"/>
  <c r="C67" i="20"/>
  <c r="AH72" i="14"/>
  <c r="B67" i="20"/>
  <c r="E67" i="20"/>
  <c r="D67" i="20"/>
  <c r="D122" i="20"/>
  <c r="AH127" i="14"/>
  <c r="C122" i="20"/>
  <c r="B122" i="20"/>
  <c r="E122" i="20"/>
  <c r="AH162" i="14"/>
  <c r="D157" i="20"/>
  <c r="E157" i="20"/>
  <c r="C157" i="20"/>
  <c r="B157" i="20"/>
  <c r="B159" i="20"/>
  <c r="D159" i="20"/>
  <c r="AH164" i="14"/>
  <c r="E159" i="20"/>
  <c r="C159" i="20"/>
  <c r="C37" i="20"/>
  <c r="D37" i="20"/>
  <c r="B37" i="20"/>
  <c r="E37" i="20"/>
  <c r="AH42" i="14"/>
  <c r="C97" i="20"/>
  <c r="B97" i="20"/>
  <c r="AH102" i="14"/>
  <c r="D97" i="20"/>
  <c r="E97" i="20"/>
  <c r="AH32" i="14"/>
  <c r="C27" i="20"/>
  <c r="D27" i="20"/>
  <c r="E27" i="20"/>
  <c r="B27" i="20"/>
  <c r="B87" i="20"/>
  <c r="D87" i="20"/>
  <c r="E87" i="20"/>
  <c r="C87" i="20"/>
  <c r="AH92" i="14"/>
  <c r="B64" i="20"/>
  <c r="C64" i="20"/>
  <c r="D64" i="20"/>
  <c r="AH69" i="14"/>
  <c r="E64" i="20"/>
  <c r="C142" i="20"/>
  <c r="E142" i="20"/>
  <c r="B142" i="20"/>
  <c r="D142" i="20"/>
  <c r="AH147" i="14"/>
  <c r="B119" i="20"/>
  <c r="D119" i="20"/>
  <c r="C119" i="20"/>
  <c r="AH124" i="14"/>
  <c r="E119" i="20"/>
  <c r="AH104" i="14"/>
  <c r="E99" i="20"/>
  <c r="B99" i="20"/>
  <c r="D99" i="20"/>
  <c r="C99" i="20"/>
  <c r="D147" i="20"/>
  <c r="AH152" i="14"/>
  <c r="B147" i="20"/>
  <c r="C147" i="20"/>
  <c r="E147" i="20"/>
  <c r="AH37" i="14"/>
  <c r="B32" i="20"/>
  <c r="D32" i="20"/>
  <c r="E32" i="20"/>
  <c r="C32" i="20"/>
  <c r="E172" i="20"/>
  <c r="D172" i="20"/>
  <c r="AH177" i="14"/>
  <c r="C172" i="20"/>
  <c r="B172" i="20"/>
  <c r="E187" i="20"/>
  <c r="AH192" i="14"/>
  <c r="B187" i="20"/>
  <c r="C187" i="20"/>
  <c r="D187" i="20"/>
  <c r="E170" i="20"/>
  <c r="C170" i="20"/>
  <c r="AH175" i="14"/>
  <c r="B170" i="20"/>
  <c r="D170" i="20"/>
  <c r="B19" i="20"/>
  <c r="E19" i="20"/>
  <c r="C19" i="20"/>
  <c r="AH24" i="14"/>
  <c r="D19" i="20"/>
  <c r="D176" i="20"/>
  <c r="E176" i="20"/>
  <c r="AH181" i="14"/>
  <c r="B176" i="20"/>
  <c r="C176" i="20"/>
  <c r="E194" i="20"/>
  <c r="B194" i="20"/>
  <c r="C194" i="20"/>
  <c r="D194" i="20"/>
  <c r="AH199" i="14"/>
  <c r="B181" i="20"/>
  <c r="C181" i="20"/>
  <c r="D181" i="20"/>
  <c r="E181" i="20"/>
  <c r="AH186" i="14"/>
  <c r="B174" i="20"/>
  <c r="AH179" i="14"/>
  <c r="D174" i="20"/>
  <c r="E174" i="20"/>
  <c r="C174" i="20"/>
  <c r="D200" i="20"/>
  <c r="C200" i="20"/>
  <c r="E200" i="20"/>
  <c r="B200" i="20"/>
  <c r="AH205" i="14"/>
  <c r="D201" i="20"/>
  <c r="AH206" i="14"/>
  <c r="E201" i="20"/>
  <c r="B201" i="20"/>
  <c r="C201" i="20"/>
  <c r="AH157" i="14"/>
  <c r="D152" i="20"/>
  <c r="E152" i="20"/>
  <c r="B152" i="20"/>
  <c r="C152" i="20"/>
  <c r="C114" i="20"/>
  <c r="B114" i="20"/>
  <c r="D114" i="20"/>
  <c r="AH119" i="14"/>
  <c r="E114" i="20"/>
  <c r="C28" i="20"/>
  <c r="B28" i="20"/>
  <c r="E28" i="20"/>
  <c r="AH33" i="14"/>
  <c r="D28" i="20"/>
  <c r="C6" i="20"/>
  <c r="E6" i="20"/>
  <c r="B6" i="20"/>
  <c r="AH11" i="14"/>
  <c r="D6" i="20"/>
  <c r="AH68" i="14"/>
  <c r="D63" i="20"/>
  <c r="B63" i="20"/>
  <c r="C63" i="20"/>
  <c r="E63" i="20"/>
  <c r="AH100" i="14"/>
  <c r="B95" i="20"/>
  <c r="C95" i="20"/>
  <c r="E95" i="20"/>
  <c r="D95" i="20"/>
  <c r="C131" i="20"/>
  <c r="B131" i="20"/>
  <c r="D131" i="20"/>
  <c r="AH136" i="14"/>
  <c r="E131" i="20"/>
  <c r="C110" i="20"/>
  <c r="B110" i="20"/>
  <c r="E110" i="20"/>
  <c r="AH115" i="14"/>
  <c r="D110" i="20"/>
  <c r="B36" i="20"/>
  <c r="C36" i="20"/>
  <c r="D36" i="20"/>
  <c r="AH41" i="14"/>
  <c r="E36" i="20"/>
  <c r="B130" i="20"/>
  <c r="D130" i="20"/>
  <c r="E130" i="20"/>
  <c r="C130" i="20"/>
  <c r="AH135" i="14"/>
  <c r="C59" i="20"/>
  <c r="E59" i="20"/>
  <c r="B59" i="20"/>
  <c r="D59" i="20"/>
  <c r="AH64" i="14"/>
  <c r="D55" i="20"/>
  <c r="B55" i="20"/>
  <c r="C55" i="20"/>
  <c r="E55" i="20"/>
  <c r="AH60" i="14"/>
  <c r="E22" i="20"/>
  <c r="B22" i="20"/>
  <c r="D22" i="20"/>
  <c r="C22" i="20"/>
  <c r="AH27" i="14"/>
  <c r="E164" i="20"/>
  <c r="B164" i="20"/>
  <c r="D164" i="20"/>
  <c r="C164" i="20"/>
  <c r="AH169" i="14"/>
  <c r="C43" i="20"/>
  <c r="E43" i="20"/>
  <c r="AH48" i="14"/>
  <c r="B43" i="20"/>
  <c r="D43" i="20"/>
  <c r="D98" i="20"/>
  <c r="E98" i="20"/>
  <c r="AH103" i="14"/>
  <c r="C98" i="20"/>
  <c r="B98" i="20"/>
  <c r="B140" i="20"/>
  <c r="D140" i="20"/>
  <c r="E140" i="20"/>
  <c r="C140" i="20"/>
  <c r="AH145" i="14"/>
  <c r="C104" i="20"/>
  <c r="B104" i="20"/>
  <c r="D104" i="20"/>
  <c r="AH109" i="14"/>
  <c r="E104" i="20"/>
  <c r="E121" i="20"/>
  <c r="C121" i="20"/>
  <c r="D121" i="20"/>
  <c r="AH126" i="14"/>
  <c r="B121" i="20"/>
  <c r="D7" i="20"/>
  <c r="AH12" i="14"/>
  <c r="B7" i="20"/>
  <c r="E7" i="20"/>
  <c r="C7" i="20"/>
  <c r="E160" i="20"/>
  <c r="D160" i="20"/>
  <c r="C160" i="20"/>
  <c r="AH165" i="14"/>
  <c r="B160" i="20"/>
  <c r="AH44" i="14"/>
  <c r="D39" i="20"/>
  <c r="E39" i="20"/>
  <c r="B39" i="20"/>
  <c r="C39" i="20"/>
  <c r="AH23" i="14"/>
  <c r="C18" i="20"/>
  <c r="B18" i="20"/>
  <c r="E18" i="20"/>
  <c r="D18" i="20"/>
  <c r="AH45" i="14"/>
  <c r="E40" i="20"/>
  <c r="C40" i="20"/>
  <c r="B40" i="20"/>
  <c r="D40" i="20"/>
  <c r="C100" i="20"/>
  <c r="B100" i="20"/>
  <c r="D100" i="20"/>
  <c r="E100" i="20"/>
  <c r="AH105" i="14"/>
  <c r="D132" i="20"/>
  <c r="E132" i="20"/>
  <c r="C132" i="20"/>
  <c r="B132" i="20"/>
  <c r="AH137" i="14"/>
  <c r="B57" i="20"/>
  <c r="C57" i="20"/>
  <c r="E57" i="20"/>
  <c r="AH62" i="14"/>
  <c r="D57" i="20"/>
  <c r="C96" i="20"/>
  <c r="D96" i="20"/>
  <c r="E96" i="20"/>
  <c r="AH101" i="14"/>
  <c r="B96" i="20"/>
  <c r="D188" i="20"/>
  <c r="B188" i="20"/>
  <c r="E188" i="20"/>
  <c r="C188" i="20"/>
  <c r="AH193" i="14"/>
  <c r="AH90" i="14"/>
  <c r="C85" i="20"/>
  <c r="D85" i="20"/>
  <c r="B85" i="20"/>
  <c r="E85" i="20"/>
  <c r="C145" i="20"/>
  <c r="D145" i="20"/>
  <c r="AH150" i="14"/>
  <c r="E145" i="20"/>
  <c r="B145" i="20"/>
  <c r="AH120" i="14"/>
  <c r="B115" i="20"/>
  <c r="E115" i="20"/>
  <c r="C115" i="20"/>
  <c r="D115" i="20"/>
  <c r="E116" i="20"/>
  <c r="C116" i="20"/>
  <c r="B116" i="20"/>
  <c r="AH121" i="14"/>
  <c r="D116" i="20"/>
  <c r="E41" i="20"/>
  <c r="C41" i="20"/>
  <c r="AH46" i="14"/>
  <c r="B41" i="20"/>
  <c r="D41" i="20"/>
  <c r="B179" i="20"/>
  <c r="C179" i="20"/>
  <c r="D179" i="20"/>
  <c r="E179" i="20"/>
  <c r="AH184" i="14"/>
  <c r="AH38" i="14"/>
  <c r="D33" i="20"/>
  <c r="B33" i="20"/>
  <c r="E33" i="20"/>
  <c r="C33" i="20"/>
  <c r="AH159" i="14"/>
  <c r="D154" i="20"/>
  <c r="B154" i="20"/>
  <c r="C154" i="20"/>
  <c r="E154" i="20"/>
  <c r="AH28" i="14"/>
  <c r="C23" i="20"/>
  <c r="D23" i="20"/>
  <c r="B23" i="20"/>
  <c r="E23" i="20"/>
  <c r="B83" i="20"/>
  <c r="AH88" i="14"/>
  <c r="E83" i="20"/>
  <c r="C83" i="20"/>
  <c r="D83" i="20"/>
  <c r="E180" i="20"/>
  <c r="AH185" i="14"/>
  <c r="B180" i="20"/>
  <c r="C180" i="20"/>
  <c r="D180" i="20"/>
  <c r="B192" i="20"/>
  <c r="C192" i="20"/>
  <c r="D192" i="20"/>
  <c r="AH197" i="14"/>
  <c r="E192" i="20"/>
  <c r="D171" i="20"/>
  <c r="AH176" i="14"/>
  <c r="C171" i="20"/>
  <c r="B171" i="20"/>
  <c r="E171" i="20"/>
  <c r="B189" i="20"/>
  <c r="D189" i="20"/>
  <c r="E189" i="20"/>
  <c r="C189" i="20"/>
  <c r="AH194" i="14"/>
  <c r="C153" i="20"/>
  <c r="D153" i="20"/>
  <c r="AH158" i="14"/>
  <c r="E153" i="20"/>
  <c r="B153" i="20"/>
  <c r="B185" i="20"/>
  <c r="C185" i="20"/>
  <c r="D185" i="20"/>
  <c r="E185" i="20"/>
  <c r="AH190" i="14"/>
  <c r="C178" i="20"/>
  <c r="E178" i="20"/>
  <c r="AH183" i="14"/>
  <c r="D178" i="20"/>
  <c r="B178" i="20"/>
  <c r="E199" i="20"/>
  <c r="B199" i="20"/>
  <c r="C199" i="20"/>
  <c r="D199" i="20"/>
  <c r="AH204" i="14"/>
  <c r="B196" i="20"/>
  <c r="C196" i="20"/>
  <c r="D196" i="20"/>
  <c r="AH201" i="14"/>
  <c r="E196" i="20"/>
  <c r="C197" i="20"/>
  <c r="D197" i="20"/>
  <c r="AH202" i="14"/>
  <c r="E197" i="20"/>
  <c r="B197" i="20"/>
  <c r="A196" i="18" l="1"/>
  <c r="A168" i="18"/>
  <c r="A44" i="18"/>
  <c r="A116" i="18"/>
  <c r="A72" i="18"/>
  <c r="A153" i="18"/>
  <c r="A109" i="18"/>
  <c r="A99" i="18"/>
  <c r="A14" i="18"/>
  <c r="A82" i="18"/>
  <c r="A132" i="18"/>
  <c r="A55" i="18"/>
  <c r="A15" i="18"/>
  <c r="A159" i="18"/>
  <c r="A162" i="18"/>
  <c r="A167" i="18"/>
  <c r="A145" i="18"/>
  <c r="A163" i="18"/>
  <c r="A51" i="18"/>
  <c r="A194" i="18"/>
  <c r="A131" i="18"/>
  <c r="A21" i="18"/>
  <c r="A126" i="18"/>
  <c r="A175" i="18"/>
  <c r="A185" i="18"/>
  <c r="A127" i="18"/>
  <c r="A178" i="18"/>
  <c r="A193" i="18"/>
  <c r="A68" i="18"/>
  <c r="A189" i="18"/>
  <c r="A203" i="18"/>
  <c r="A176" i="18"/>
  <c r="A143" i="18"/>
  <c r="A157" i="18"/>
  <c r="A93" i="18"/>
  <c r="A133" i="18"/>
  <c r="A107" i="18"/>
  <c r="A197" i="18"/>
  <c r="A207" i="18"/>
  <c r="A70" i="18"/>
  <c r="A138" i="18"/>
  <c r="A134" i="18"/>
  <c r="A28" i="18"/>
  <c r="A158" i="18"/>
  <c r="A22" i="18"/>
  <c r="A73" i="18"/>
  <c r="A29" i="18"/>
  <c r="A48" i="18"/>
  <c r="A100" i="18"/>
  <c r="A111" i="18"/>
  <c r="A16" i="18"/>
  <c r="A206" i="18"/>
  <c r="A60" i="18"/>
  <c r="A24" i="18"/>
  <c r="A40" i="18"/>
  <c r="A36" i="18"/>
  <c r="A66" i="18"/>
  <c r="A187" i="18"/>
  <c r="A13" i="18"/>
  <c r="A38" i="18"/>
  <c r="A195" i="18"/>
  <c r="A31" i="18"/>
  <c r="A39" i="18"/>
  <c r="A152" i="18"/>
  <c r="A191" i="18"/>
  <c r="A202" i="18"/>
  <c r="A94" i="18"/>
  <c r="A164" i="18"/>
  <c r="A166" i="18"/>
  <c r="A12" i="18"/>
  <c r="A75" i="18"/>
  <c r="A76" i="18"/>
  <c r="A201" i="18"/>
  <c r="A42" i="18"/>
  <c r="A148" i="18"/>
  <c r="A121" i="18"/>
  <c r="A95" i="18"/>
  <c r="A84" i="18"/>
  <c r="A85" i="18"/>
  <c r="A18" i="18"/>
  <c r="A181" i="18"/>
  <c r="A208" i="18"/>
  <c r="A129" i="18"/>
  <c r="A62" i="18"/>
  <c r="A32" i="18"/>
  <c r="A200" i="18"/>
  <c r="A141" i="18"/>
  <c r="A27" i="18"/>
  <c r="A123" i="18"/>
  <c r="A79" i="18"/>
  <c r="A61" i="18"/>
  <c r="A120" i="18"/>
  <c r="A174" i="18"/>
  <c r="A104" i="18"/>
  <c r="A139" i="18"/>
  <c r="A142" i="18"/>
  <c r="A47" i="18"/>
  <c r="A151" i="18"/>
  <c r="A124" i="18"/>
  <c r="A63" i="18"/>
  <c r="A209" i="18"/>
  <c r="A186" i="18"/>
  <c r="A50" i="18"/>
  <c r="A130" i="18"/>
  <c r="A45" i="18"/>
  <c r="A71" i="18"/>
  <c r="A173" i="18"/>
  <c r="A77" i="18"/>
  <c r="A205" i="18"/>
  <c r="A199" i="18"/>
  <c r="A177" i="18"/>
  <c r="A122" i="18"/>
  <c r="A165" i="18"/>
  <c r="A137" i="18"/>
  <c r="A204" i="18"/>
  <c r="A190" i="18"/>
  <c r="A192" i="18"/>
  <c r="A101" i="18"/>
  <c r="A69" i="18"/>
  <c r="A108" i="18"/>
  <c r="A125" i="18"/>
  <c r="A59" i="18"/>
  <c r="A161" i="18"/>
  <c r="A183" i="18"/>
  <c r="A53" i="18"/>
  <c r="A140" i="18"/>
  <c r="A65" i="18"/>
  <c r="A25" i="18"/>
  <c r="A26" i="18"/>
  <c r="A58" i="18"/>
  <c r="A144" i="18"/>
  <c r="A96" i="18"/>
  <c r="A119" i="18"/>
  <c r="A117" i="18"/>
  <c r="A150" i="18"/>
  <c r="A103" i="18"/>
  <c r="A92" i="18"/>
  <c r="A179" i="18"/>
  <c r="A156" i="18"/>
  <c r="A30" i="18"/>
  <c r="A115" i="18"/>
  <c r="A89" i="18"/>
  <c r="A74" i="18"/>
  <c r="A169" i="18"/>
  <c r="A67" i="18"/>
  <c r="A57" i="18"/>
  <c r="A160" i="18"/>
  <c r="A52" i="18"/>
  <c r="A171" i="18"/>
  <c r="A37" i="18"/>
  <c r="A154" i="18"/>
  <c r="A136" i="18"/>
  <c r="A106" i="18"/>
  <c r="A188" i="18"/>
  <c r="A114" i="18"/>
  <c r="A33" i="18"/>
  <c r="A35" i="18"/>
  <c r="A88" i="18"/>
  <c r="A83" i="18"/>
  <c r="A17" i="18"/>
  <c r="A64" i="18"/>
  <c r="A11" i="18"/>
  <c r="A149" i="18"/>
  <c r="A78" i="18"/>
  <c r="A135" i="18"/>
  <c r="A86" i="18"/>
  <c r="A113" i="18"/>
  <c r="A118" i="18"/>
  <c r="A147" i="18"/>
  <c r="A43" i="18"/>
  <c r="A34" i="18"/>
  <c r="A19" i="18"/>
  <c r="A41" i="18"/>
  <c r="A182" i="18"/>
  <c r="A184" i="18"/>
  <c r="A102" i="18"/>
  <c r="A155" i="18"/>
  <c r="A91" i="18"/>
  <c r="A105" i="18"/>
  <c r="A97" i="18"/>
  <c r="A49" i="18"/>
  <c r="A90" i="18"/>
  <c r="A180" i="18"/>
  <c r="A87" i="18"/>
  <c r="A56" i="18"/>
  <c r="A98" i="18"/>
  <c r="A146" i="18"/>
  <c r="A198" i="18"/>
  <c r="A20" i="18"/>
  <c r="A54" i="18"/>
  <c r="A112" i="18"/>
  <c r="A128" i="18"/>
  <c r="A23" i="18"/>
  <c r="A172" i="18"/>
  <c r="A46" i="18"/>
  <c r="A110" i="18"/>
  <c r="A170" i="18"/>
  <c r="A81" i="18"/>
  <c r="A80" i="18"/>
  <c r="A10" i="18"/>
  <c r="H204" i="18" l="1"/>
  <c r="H201" i="18"/>
  <c r="H140" i="18"/>
  <c r="H110" i="18"/>
  <c r="H86" i="18"/>
  <c r="H162" i="18"/>
  <c r="H82" i="18"/>
  <c r="H127" i="18"/>
  <c r="H130" i="18"/>
  <c r="H14" i="18"/>
  <c r="H40" i="18"/>
  <c r="H15" i="18"/>
  <c r="H181" i="18"/>
  <c r="H200" i="18"/>
  <c r="H176" i="18"/>
  <c r="H161" i="18"/>
  <c r="H172" i="18"/>
  <c r="H178" i="18"/>
  <c r="H155" i="18"/>
  <c r="H135" i="18"/>
  <c r="H85" i="18"/>
  <c r="H23" i="18"/>
  <c r="H70" i="18"/>
  <c r="H72" i="18"/>
  <c r="H47" i="18"/>
  <c r="H52" i="18"/>
  <c r="H205" i="18"/>
  <c r="H189" i="18"/>
  <c r="H122" i="18"/>
  <c r="H101" i="18"/>
  <c r="H90" i="18"/>
  <c r="H166" i="18"/>
  <c r="H33" i="18"/>
  <c r="H91" i="18"/>
  <c r="H34" i="18"/>
  <c r="H198" i="18"/>
  <c r="H180" i="18"/>
  <c r="H165" i="18"/>
  <c r="H159" i="18"/>
  <c r="H10" i="18"/>
  <c r="H69" i="18"/>
  <c r="H136" i="18"/>
  <c r="H158" i="18"/>
  <c r="H16" i="18"/>
  <c r="H61" i="18"/>
  <c r="H68" i="18"/>
  <c r="H192" i="18"/>
  <c r="H199" i="18"/>
  <c r="H146" i="18"/>
  <c r="H36" i="18"/>
  <c r="H20" i="18"/>
  <c r="H76" i="18"/>
  <c r="H84" i="18"/>
  <c r="H55" i="18"/>
  <c r="H77" i="18"/>
  <c r="H157" i="18"/>
  <c r="H134" i="18"/>
  <c r="H102" i="18"/>
  <c r="H35" i="18"/>
  <c r="H63" i="18"/>
  <c r="H183" i="18"/>
  <c r="H184" i="18"/>
  <c r="H119" i="18"/>
  <c r="H104" i="18"/>
  <c r="H30" i="18"/>
  <c r="H156" i="18"/>
  <c r="H43" i="18"/>
  <c r="H129" i="18"/>
  <c r="H51" i="18"/>
  <c r="H64" i="18"/>
  <c r="H190" i="18"/>
  <c r="H54" i="18"/>
  <c r="H89" i="18"/>
  <c r="H118" i="18"/>
  <c r="H154" i="18"/>
  <c r="H87" i="18"/>
  <c r="H182" i="18"/>
  <c r="H45" i="18"/>
  <c r="H32" i="18"/>
  <c r="H168" i="18"/>
  <c r="H149" i="18"/>
  <c r="H164" i="18"/>
  <c r="H107" i="18"/>
  <c r="H186" i="18"/>
  <c r="H38" i="18"/>
  <c r="H49" i="18"/>
  <c r="H48" i="18"/>
  <c r="H18" i="18"/>
  <c r="H114" i="18"/>
  <c r="H197" i="18"/>
  <c r="H206" i="18"/>
  <c r="H141" i="18"/>
  <c r="H177" i="18"/>
  <c r="H21" i="18"/>
  <c r="H67" i="18"/>
  <c r="H60" i="18"/>
  <c r="H56" i="18"/>
  <c r="H144" i="18"/>
  <c r="H120" i="18"/>
  <c r="H132" i="18"/>
  <c r="H66" i="18"/>
  <c r="H92" i="18"/>
  <c r="H62" i="18"/>
  <c r="H59" i="18"/>
  <c r="H151" i="18"/>
  <c r="H187" i="18"/>
  <c r="H13" i="18"/>
  <c r="H160" i="18"/>
  <c r="H27" i="18"/>
  <c r="H124" i="18"/>
  <c r="H175" i="18"/>
  <c r="H96" i="18"/>
  <c r="H179" i="18"/>
  <c r="H126" i="18"/>
  <c r="H208" i="18"/>
  <c r="H152" i="18"/>
  <c r="H19" i="18"/>
  <c r="H174" i="18"/>
  <c r="H106" i="18"/>
  <c r="H203" i="18"/>
  <c r="H50" i="18"/>
  <c r="H58" i="18"/>
  <c r="H81" i="18"/>
  <c r="H75" i="18"/>
  <c r="H193" i="18"/>
  <c r="H98" i="18"/>
  <c r="H123" i="18"/>
  <c r="H53" i="18"/>
  <c r="H79" i="18"/>
  <c r="H209" i="18"/>
  <c r="H150" i="18"/>
  <c r="H28" i="18"/>
  <c r="H94" i="18"/>
  <c r="H103" i="18"/>
  <c r="H167" i="18"/>
  <c r="H46" i="18"/>
  <c r="H148" i="18"/>
  <c r="H11" i="18"/>
  <c r="H170" i="18"/>
  <c r="H95" i="18"/>
  <c r="H116" i="18"/>
  <c r="H29" i="18"/>
  <c r="H42" i="18"/>
  <c r="H188" i="18"/>
  <c r="H100" i="18"/>
  <c r="H78" i="18"/>
  <c r="H133" i="18"/>
  <c r="H171" i="18"/>
  <c r="H117" i="18"/>
  <c r="H163" i="18"/>
  <c r="H88" i="18"/>
  <c r="H12" i="18"/>
  <c r="H139" i="18"/>
  <c r="H108" i="18"/>
  <c r="H109" i="18"/>
  <c r="H147" i="18"/>
  <c r="H26" i="18"/>
  <c r="H39" i="18"/>
  <c r="H131" i="18"/>
  <c r="H105" i="18"/>
  <c r="H125" i="18"/>
  <c r="H194" i="18"/>
  <c r="H145" i="18"/>
  <c r="H25" i="18"/>
  <c r="H99" i="18"/>
  <c r="H196" i="18"/>
  <c r="H74" i="18"/>
  <c r="H17" i="18"/>
  <c r="H73" i="18"/>
  <c r="H111" i="18"/>
  <c r="H202" i="18"/>
  <c r="H128" i="18"/>
  <c r="H153" i="18"/>
  <c r="H137" i="18"/>
  <c r="H57" i="18"/>
  <c r="H65" i="18"/>
  <c r="H121" i="18"/>
  <c r="H195" i="18"/>
  <c r="H31" i="18"/>
  <c r="H169" i="18"/>
  <c r="H113" i="18"/>
  <c r="H22" i="18"/>
  <c r="H41" i="18"/>
  <c r="H185" i="18"/>
  <c r="H191" i="18"/>
  <c r="H115" i="18"/>
  <c r="H80" i="18"/>
  <c r="H44" i="18"/>
  <c r="H97" i="18"/>
  <c r="H37" i="18"/>
  <c r="H138" i="18"/>
  <c r="H83" i="18"/>
  <c r="H142" i="18"/>
  <c r="H93" i="18"/>
  <c r="H143" i="18"/>
  <c r="H24" i="18"/>
  <c r="H207" i="18"/>
  <c r="H71" i="18"/>
  <c r="H173" i="18"/>
  <c r="H112" i="18"/>
  <c r="AA71" i="18" l="1"/>
  <c r="P71" i="18"/>
  <c r="X71" i="18"/>
  <c r="Z71" i="18"/>
  <c r="I71" i="18"/>
  <c r="P142" i="18"/>
  <c r="I142" i="18"/>
  <c r="X142" i="18"/>
  <c r="Z142" i="18"/>
  <c r="AA142" i="18"/>
  <c r="I112" i="18"/>
  <c r="P112" i="18"/>
  <c r="AA112" i="18"/>
  <c r="Z112" i="18"/>
  <c r="X112" i="18"/>
  <c r="Z24" i="18"/>
  <c r="X24" i="18"/>
  <c r="P24" i="18"/>
  <c r="I24" i="18"/>
  <c r="AA24" i="18"/>
  <c r="I83" i="18"/>
  <c r="X83" i="18"/>
  <c r="Z83" i="18"/>
  <c r="P83" i="18"/>
  <c r="AA83" i="18"/>
  <c r="Z44" i="18"/>
  <c r="AA44" i="18"/>
  <c r="X44" i="18"/>
  <c r="I44" i="18"/>
  <c r="P44" i="18"/>
  <c r="AA185" i="18"/>
  <c r="Z185" i="18"/>
  <c r="I185" i="18"/>
  <c r="X185" i="18"/>
  <c r="P185" i="18"/>
  <c r="AA169" i="18"/>
  <c r="X169" i="18"/>
  <c r="P169" i="18"/>
  <c r="I169" i="18"/>
  <c r="Z169" i="18"/>
  <c r="Z65" i="18"/>
  <c r="X65" i="18"/>
  <c r="I65" i="18"/>
  <c r="AA65" i="18"/>
  <c r="P65" i="18"/>
  <c r="AA128" i="18"/>
  <c r="Z128" i="18"/>
  <c r="X128" i="18"/>
  <c r="P128" i="18"/>
  <c r="I128" i="18"/>
  <c r="Z17" i="18"/>
  <c r="X17" i="18"/>
  <c r="P17" i="18"/>
  <c r="AA17" i="18"/>
  <c r="I17" i="18"/>
  <c r="Z25" i="18"/>
  <c r="I25" i="18"/>
  <c r="P25" i="18"/>
  <c r="X25" i="18"/>
  <c r="AA25" i="18"/>
  <c r="Z105" i="18"/>
  <c r="I105" i="18"/>
  <c r="X105" i="18"/>
  <c r="P105" i="18"/>
  <c r="AA105" i="18"/>
  <c r="X147" i="18"/>
  <c r="I147" i="18"/>
  <c r="AA147" i="18"/>
  <c r="Z147" i="18"/>
  <c r="P147" i="18"/>
  <c r="X12" i="18"/>
  <c r="AA12" i="18"/>
  <c r="Z12" i="18"/>
  <c r="I12" i="18"/>
  <c r="P12" i="18"/>
  <c r="AA171" i="18"/>
  <c r="Z171" i="18"/>
  <c r="I171" i="18"/>
  <c r="P171" i="18"/>
  <c r="X171" i="18"/>
  <c r="P188" i="18"/>
  <c r="AA188" i="18"/>
  <c r="X188" i="18"/>
  <c r="Z188" i="18"/>
  <c r="I188" i="18"/>
  <c r="I95" i="18"/>
  <c r="Z95" i="18"/>
  <c r="P95" i="18"/>
  <c r="AA95" i="18"/>
  <c r="X95" i="18"/>
  <c r="X46" i="18"/>
  <c r="AA46" i="18"/>
  <c r="I46" i="18"/>
  <c r="P46" i="18"/>
  <c r="Z46" i="18"/>
  <c r="P28" i="18"/>
  <c r="I28" i="18"/>
  <c r="X28" i="18"/>
  <c r="AA28" i="18"/>
  <c r="Z28" i="18"/>
  <c r="I53" i="18"/>
  <c r="Z53" i="18"/>
  <c r="AA53" i="18"/>
  <c r="X53" i="18"/>
  <c r="P53" i="18"/>
  <c r="Z75" i="18"/>
  <c r="X75" i="18"/>
  <c r="I75" i="18"/>
  <c r="AA75" i="18"/>
  <c r="P75" i="18"/>
  <c r="I203" i="18"/>
  <c r="X203" i="18"/>
  <c r="AA203" i="18"/>
  <c r="Z203" i="18"/>
  <c r="P203" i="18"/>
  <c r="Z152" i="18"/>
  <c r="I152" i="18"/>
  <c r="X152" i="18"/>
  <c r="AA152" i="18"/>
  <c r="P152" i="18"/>
  <c r="X96" i="18"/>
  <c r="Z96" i="18"/>
  <c r="P96" i="18"/>
  <c r="I96" i="18"/>
  <c r="AA96" i="18"/>
  <c r="Z160" i="18"/>
  <c r="X160" i="18"/>
  <c r="I160" i="18"/>
  <c r="AA160" i="18"/>
  <c r="P160" i="18"/>
  <c r="I59" i="18"/>
  <c r="AA59" i="18"/>
  <c r="X59" i="18"/>
  <c r="P59" i="18"/>
  <c r="Z59" i="18"/>
  <c r="X132" i="18"/>
  <c r="AA132" i="18"/>
  <c r="P132" i="18"/>
  <c r="Z132" i="18"/>
  <c r="I132" i="18"/>
  <c r="P60" i="18"/>
  <c r="Z60" i="18"/>
  <c r="I60" i="18"/>
  <c r="AA60" i="18"/>
  <c r="X60" i="18"/>
  <c r="P141" i="18"/>
  <c r="X141" i="18"/>
  <c r="AA141" i="18"/>
  <c r="I141" i="18"/>
  <c r="Z141" i="18"/>
  <c r="X18" i="18"/>
  <c r="Z18" i="18"/>
  <c r="P18" i="18"/>
  <c r="I18" i="18"/>
  <c r="AA18" i="18"/>
  <c r="Z186" i="18"/>
  <c r="X186" i="18"/>
  <c r="AA186" i="18"/>
  <c r="I186" i="18"/>
  <c r="P186" i="18"/>
  <c r="P168" i="18"/>
  <c r="AA168" i="18"/>
  <c r="Z168" i="18"/>
  <c r="X168" i="18"/>
  <c r="I168" i="18"/>
  <c r="AA87" i="18"/>
  <c r="Z87" i="18"/>
  <c r="X87" i="18"/>
  <c r="I87" i="18"/>
  <c r="P87" i="18"/>
  <c r="X54" i="18"/>
  <c r="AA54" i="18"/>
  <c r="I54" i="18"/>
  <c r="P54" i="18"/>
  <c r="Z54" i="18"/>
  <c r="X129" i="18"/>
  <c r="AA129" i="18"/>
  <c r="P129" i="18"/>
  <c r="Z129" i="18"/>
  <c r="I129" i="18"/>
  <c r="I104" i="18"/>
  <c r="AA104" i="18"/>
  <c r="P104" i="18"/>
  <c r="Z104" i="18"/>
  <c r="X104" i="18"/>
  <c r="P63" i="18"/>
  <c r="X63" i="18"/>
  <c r="Z63" i="18"/>
  <c r="I63" i="18"/>
  <c r="AA63" i="18"/>
  <c r="AA157" i="18"/>
  <c r="Z157" i="18"/>
  <c r="X157" i="18"/>
  <c r="P157" i="18"/>
  <c r="I157" i="18"/>
  <c r="Z76" i="18"/>
  <c r="I76" i="18"/>
  <c r="AA76" i="18"/>
  <c r="X76" i="18"/>
  <c r="P76" i="18"/>
  <c r="P199" i="18"/>
  <c r="AA199" i="18"/>
  <c r="I199" i="18"/>
  <c r="X199" i="18"/>
  <c r="Z199" i="18"/>
  <c r="I16" i="18"/>
  <c r="Z16" i="18"/>
  <c r="P16" i="18"/>
  <c r="AA16" i="18"/>
  <c r="X16" i="18"/>
  <c r="I10" i="18"/>
  <c r="AA10" i="18"/>
  <c r="X10" i="18"/>
  <c r="Z10" i="18"/>
  <c r="P10" i="18"/>
  <c r="I198" i="18"/>
  <c r="Z198" i="18"/>
  <c r="X198" i="18"/>
  <c r="AA198" i="18"/>
  <c r="P198" i="18"/>
  <c r="AA166" i="18"/>
  <c r="I166" i="18"/>
  <c r="Z166" i="18"/>
  <c r="P166" i="18"/>
  <c r="X166" i="18"/>
  <c r="Z189" i="18"/>
  <c r="AA189" i="18"/>
  <c r="X189" i="18"/>
  <c r="I189" i="18"/>
  <c r="P189" i="18"/>
  <c r="Z72" i="18"/>
  <c r="X72" i="18"/>
  <c r="P72" i="18"/>
  <c r="I72" i="18"/>
  <c r="AA72" i="18"/>
  <c r="P135" i="18"/>
  <c r="AA135" i="18"/>
  <c r="I135" i="18"/>
  <c r="X135" i="18"/>
  <c r="Z135" i="18"/>
  <c r="Z161" i="18"/>
  <c r="X161" i="18"/>
  <c r="I161" i="18"/>
  <c r="P161" i="18"/>
  <c r="AA161" i="18"/>
  <c r="I15" i="18"/>
  <c r="X15" i="18"/>
  <c r="P15" i="18"/>
  <c r="Z15" i="18"/>
  <c r="AA15" i="18"/>
  <c r="P127" i="18"/>
  <c r="X127" i="18"/>
  <c r="Z127" i="18"/>
  <c r="I127" i="18"/>
  <c r="AA127" i="18"/>
  <c r="P110" i="18"/>
  <c r="AA110" i="18"/>
  <c r="Z110" i="18"/>
  <c r="I110" i="18"/>
  <c r="X110" i="18"/>
  <c r="Z173" i="18"/>
  <c r="X173" i="18"/>
  <c r="P173" i="18"/>
  <c r="AA173" i="18"/>
  <c r="I173" i="18"/>
  <c r="X143" i="18"/>
  <c r="I143" i="18"/>
  <c r="AA143" i="18"/>
  <c r="P143" i="18"/>
  <c r="Z143" i="18"/>
  <c r="P138" i="18"/>
  <c r="AA138" i="18"/>
  <c r="Z138" i="18"/>
  <c r="I138" i="18"/>
  <c r="X138" i="18"/>
  <c r="P80" i="18"/>
  <c r="AA80" i="18"/>
  <c r="X80" i="18"/>
  <c r="I80" i="18"/>
  <c r="Z80" i="18"/>
  <c r="AA41" i="18"/>
  <c r="Z41" i="18"/>
  <c r="I41" i="18"/>
  <c r="X41" i="18"/>
  <c r="P41" i="18"/>
  <c r="Z31" i="18"/>
  <c r="I31" i="18"/>
  <c r="AA31" i="18"/>
  <c r="X31" i="18"/>
  <c r="P31" i="18"/>
  <c r="X57" i="18"/>
  <c r="P57" i="18"/>
  <c r="I57" i="18"/>
  <c r="Z57" i="18"/>
  <c r="AA57" i="18"/>
  <c r="AA202" i="18"/>
  <c r="P202" i="18"/>
  <c r="Z202" i="18"/>
  <c r="I202" i="18"/>
  <c r="X202" i="18"/>
  <c r="I74" i="18"/>
  <c r="P74" i="18"/>
  <c r="AA74" i="18"/>
  <c r="Z74" i="18"/>
  <c r="X74" i="18"/>
  <c r="P145" i="18"/>
  <c r="Z145" i="18"/>
  <c r="AA145" i="18"/>
  <c r="X145" i="18"/>
  <c r="I145" i="18"/>
  <c r="X131" i="18"/>
  <c r="AA131" i="18"/>
  <c r="P131" i="18"/>
  <c r="I131" i="18"/>
  <c r="Z131" i="18"/>
  <c r="X109" i="18"/>
  <c r="I109" i="18"/>
  <c r="P109" i="18"/>
  <c r="Z109" i="18"/>
  <c r="AA109" i="18"/>
  <c r="X88" i="18"/>
  <c r="P88" i="18"/>
  <c r="AA88" i="18"/>
  <c r="Z88" i="18"/>
  <c r="I88" i="18"/>
  <c r="AA133" i="18"/>
  <c r="X133" i="18"/>
  <c r="P133" i="18"/>
  <c r="Z133" i="18"/>
  <c r="I133" i="18"/>
  <c r="AA42" i="18"/>
  <c r="Z42" i="18"/>
  <c r="I42" i="18"/>
  <c r="P42" i="18"/>
  <c r="X42" i="18"/>
  <c r="I170" i="18"/>
  <c r="AA170" i="18"/>
  <c r="X170" i="18"/>
  <c r="P170" i="18"/>
  <c r="Z170" i="18"/>
  <c r="I167" i="18"/>
  <c r="Z167" i="18"/>
  <c r="AA167" i="18"/>
  <c r="X167" i="18"/>
  <c r="P167" i="18"/>
  <c r="I150" i="18"/>
  <c r="Z150" i="18"/>
  <c r="P150" i="18"/>
  <c r="X150" i="18"/>
  <c r="AA150" i="18"/>
  <c r="X123" i="18"/>
  <c r="P123" i="18"/>
  <c r="Z123" i="18"/>
  <c r="I123" i="18"/>
  <c r="AA123" i="18"/>
  <c r="Z81" i="18"/>
  <c r="P81" i="18"/>
  <c r="AA81" i="18"/>
  <c r="X81" i="18"/>
  <c r="I81" i="18"/>
  <c r="I106" i="18"/>
  <c r="Z106" i="18"/>
  <c r="AA106" i="18"/>
  <c r="X106" i="18"/>
  <c r="P106" i="18"/>
  <c r="P208" i="18"/>
  <c r="X208" i="18"/>
  <c r="Z208" i="18"/>
  <c r="AA208" i="18"/>
  <c r="I208" i="18"/>
  <c r="I175" i="18"/>
  <c r="Z175" i="18"/>
  <c r="P175" i="18"/>
  <c r="X175" i="18"/>
  <c r="AA175" i="18"/>
  <c r="P13" i="18"/>
  <c r="X13" i="18"/>
  <c r="I13" i="18"/>
  <c r="Z13" i="18"/>
  <c r="AA13" i="18"/>
  <c r="Z62" i="18"/>
  <c r="AA62" i="18"/>
  <c r="X62" i="18"/>
  <c r="I62" i="18"/>
  <c r="P62" i="18"/>
  <c r="AA120" i="18"/>
  <c r="P120" i="18"/>
  <c r="Z120" i="18"/>
  <c r="X120" i="18"/>
  <c r="I120" i="18"/>
  <c r="I67" i="18"/>
  <c r="Z67" i="18"/>
  <c r="P67" i="18"/>
  <c r="X67" i="18"/>
  <c r="AA67" i="18"/>
  <c r="P206" i="18"/>
  <c r="X206" i="18"/>
  <c r="I206" i="18"/>
  <c r="AA206" i="18"/>
  <c r="Z206" i="18"/>
  <c r="P48" i="18"/>
  <c r="AA48" i="18"/>
  <c r="Z48" i="18"/>
  <c r="I48" i="18"/>
  <c r="X48" i="18"/>
  <c r="I107" i="18"/>
  <c r="AA107" i="18"/>
  <c r="P107" i="18"/>
  <c r="Z107" i="18"/>
  <c r="X107" i="18"/>
  <c r="I32" i="18"/>
  <c r="X32" i="18"/>
  <c r="AA32" i="18"/>
  <c r="Z32" i="18"/>
  <c r="P32" i="18"/>
  <c r="AA154" i="18"/>
  <c r="P154" i="18"/>
  <c r="X154" i="18"/>
  <c r="Z154" i="18"/>
  <c r="I154" i="18"/>
  <c r="AA190" i="18"/>
  <c r="P190" i="18"/>
  <c r="Z190" i="18"/>
  <c r="X190" i="18"/>
  <c r="I190" i="18"/>
  <c r="I43" i="18"/>
  <c r="P43" i="18"/>
  <c r="AA43" i="18"/>
  <c r="X43" i="18"/>
  <c r="Z43" i="18"/>
  <c r="Z119" i="18"/>
  <c r="P119" i="18"/>
  <c r="AA119" i="18"/>
  <c r="X119" i="18"/>
  <c r="I119" i="18"/>
  <c r="Z35" i="18"/>
  <c r="AA35" i="18"/>
  <c r="X35" i="18"/>
  <c r="P35" i="18"/>
  <c r="I35" i="18"/>
  <c r="Z77" i="18"/>
  <c r="AA77" i="18"/>
  <c r="I77" i="18"/>
  <c r="P77" i="18"/>
  <c r="X77" i="18"/>
  <c r="AA20" i="18"/>
  <c r="X20" i="18"/>
  <c r="I20" i="18"/>
  <c r="P20" i="18"/>
  <c r="Z20" i="18"/>
  <c r="P192" i="18"/>
  <c r="Z192" i="18"/>
  <c r="AA192" i="18"/>
  <c r="I192" i="18"/>
  <c r="X192" i="18"/>
  <c r="X158" i="18"/>
  <c r="P158" i="18"/>
  <c r="Z158" i="18"/>
  <c r="AA158" i="18"/>
  <c r="I158" i="18"/>
  <c r="X159" i="18"/>
  <c r="Z159" i="18"/>
  <c r="I159" i="18"/>
  <c r="AA159" i="18"/>
  <c r="P159" i="18"/>
  <c r="Z34" i="18"/>
  <c r="X34" i="18"/>
  <c r="P34" i="18"/>
  <c r="AA34" i="18"/>
  <c r="I34" i="18"/>
  <c r="X90" i="18"/>
  <c r="I90" i="18"/>
  <c r="AA90" i="18"/>
  <c r="P90" i="18"/>
  <c r="Z90" i="18"/>
  <c r="I205" i="18"/>
  <c r="X205" i="18"/>
  <c r="AA205" i="18"/>
  <c r="P205" i="18"/>
  <c r="Z205" i="18"/>
  <c r="I70" i="18"/>
  <c r="X70" i="18"/>
  <c r="Z70" i="18"/>
  <c r="P70" i="18"/>
  <c r="AA70" i="18"/>
  <c r="P155" i="18"/>
  <c r="X155" i="18"/>
  <c r="I155" i="18"/>
  <c r="AA155" i="18"/>
  <c r="Z155" i="18"/>
  <c r="P176" i="18"/>
  <c r="I176" i="18"/>
  <c r="AA176" i="18"/>
  <c r="X176" i="18"/>
  <c r="Z176" i="18"/>
  <c r="I40" i="18"/>
  <c r="AA40" i="18"/>
  <c r="P40" i="18"/>
  <c r="Z40" i="18"/>
  <c r="X40" i="18"/>
  <c r="AA82" i="18"/>
  <c r="Z82" i="18"/>
  <c r="I82" i="18"/>
  <c r="X82" i="18"/>
  <c r="P82" i="18"/>
  <c r="X140" i="18"/>
  <c r="I140" i="18"/>
  <c r="Z140" i="18"/>
  <c r="AA140" i="18"/>
  <c r="P140" i="18"/>
  <c r="I93" i="18"/>
  <c r="P93" i="18"/>
  <c r="Z93" i="18"/>
  <c r="X93" i="18"/>
  <c r="AA93" i="18"/>
  <c r="Z37" i="18"/>
  <c r="P37" i="18"/>
  <c r="X37" i="18"/>
  <c r="I37" i="18"/>
  <c r="AA37" i="18"/>
  <c r="P115" i="18"/>
  <c r="AA115" i="18"/>
  <c r="Z115" i="18"/>
  <c r="X115" i="18"/>
  <c r="I115" i="18"/>
  <c r="X22" i="18"/>
  <c r="AA22" i="18"/>
  <c r="P22" i="18"/>
  <c r="I22" i="18"/>
  <c r="Z22" i="18"/>
  <c r="Z195" i="18"/>
  <c r="X195" i="18"/>
  <c r="P195" i="18"/>
  <c r="AA195" i="18"/>
  <c r="I195" i="18"/>
  <c r="I137" i="18"/>
  <c r="P137" i="18"/>
  <c r="X137" i="18"/>
  <c r="AA137" i="18"/>
  <c r="Z137" i="18"/>
  <c r="P111" i="18"/>
  <c r="AA111" i="18"/>
  <c r="X111" i="18"/>
  <c r="Z111" i="18"/>
  <c r="I111" i="18"/>
  <c r="Z196" i="18"/>
  <c r="X196" i="18"/>
  <c r="P196" i="18"/>
  <c r="I196" i="18"/>
  <c r="AA196" i="18"/>
  <c r="Z194" i="18"/>
  <c r="AA194" i="18"/>
  <c r="I194" i="18"/>
  <c r="P194" i="18"/>
  <c r="X194" i="18"/>
  <c r="AA39" i="18"/>
  <c r="X39" i="18"/>
  <c r="P39" i="18"/>
  <c r="I39" i="18"/>
  <c r="Z39" i="18"/>
  <c r="X108" i="18"/>
  <c r="I108" i="18"/>
  <c r="AA108" i="18"/>
  <c r="P108" i="18"/>
  <c r="Z108" i="18"/>
  <c r="I163" i="18"/>
  <c r="AA163" i="18"/>
  <c r="Z163" i="18"/>
  <c r="P163" i="18"/>
  <c r="X163" i="18"/>
  <c r="P78" i="18"/>
  <c r="AA78" i="18"/>
  <c r="X78" i="18"/>
  <c r="I78" i="18"/>
  <c r="Z78" i="18"/>
  <c r="I29" i="18"/>
  <c r="X29" i="18"/>
  <c r="P29" i="18"/>
  <c r="AA29" i="18"/>
  <c r="Z29" i="18"/>
  <c r="Z11" i="18"/>
  <c r="P11" i="18"/>
  <c r="AA11" i="18"/>
  <c r="I11" i="18"/>
  <c r="X11" i="18"/>
  <c r="AA103" i="18"/>
  <c r="I103" i="18"/>
  <c r="P103" i="18"/>
  <c r="X103" i="18"/>
  <c r="Z103" i="18"/>
  <c r="X209" i="18"/>
  <c r="AA209" i="18"/>
  <c r="Z209" i="18"/>
  <c r="P209" i="18"/>
  <c r="I209" i="18"/>
  <c r="P98" i="18"/>
  <c r="I98" i="18"/>
  <c r="Z98" i="18"/>
  <c r="AA98" i="18"/>
  <c r="X98" i="18"/>
  <c r="I58" i="18"/>
  <c r="P58" i="18"/>
  <c r="AA58" i="18"/>
  <c r="X58" i="18"/>
  <c r="Z58" i="18"/>
  <c r="I174" i="18"/>
  <c r="AA174" i="18"/>
  <c r="P174" i="18"/>
  <c r="X174" i="18"/>
  <c r="Z174" i="18"/>
  <c r="X126" i="18"/>
  <c r="Z126" i="18"/>
  <c r="I126" i="18"/>
  <c r="AA126" i="18"/>
  <c r="P126" i="18"/>
  <c r="I124" i="18"/>
  <c r="AA124" i="18"/>
  <c r="Z124" i="18"/>
  <c r="P124" i="18"/>
  <c r="X124" i="18"/>
  <c r="I187" i="18"/>
  <c r="P187" i="18"/>
  <c r="X187" i="18"/>
  <c r="Z187" i="18"/>
  <c r="AA187" i="18"/>
  <c r="X92" i="18"/>
  <c r="P92" i="18"/>
  <c r="I92" i="18"/>
  <c r="AA92" i="18"/>
  <c r="Z92" i="18"/>
  <c r="Z144" i="18"/>
  <c r="I144" i="18"/>
  <c r="AA144" i="18"/>
  <c r="P144" i="18"/>
  <c r="X144" i="18"/>
  <c r="I21" i="18"/>
  <c r="AA21" i="18"/>
  <c r="X21" i="18"/>
  <c r="Z21" i="18"/>
  <c r="P21" i="18"/>
  <c r="AA197" i="18"/>
  <c r="P197" i="18"/>
  <c r="I197" i="18"/>
  <c r="X197" i="18"/>
  <c r="Z197" i="18"/>
  <c r="Z49" i="18"/>
  <c r="I49" i="18"/>
  <c r="AA49" i="18"/>
  <c r="X49" i="18"/>
  <c r="P49" i="18"/>
  <c r="X164" i="18"/>
  <c r="I164" i="18"/>
  <c r="P164" i="18"/>
  <c r="Z164" i="18"/>
  <c r="AA164" i="18"/>
  <c r="X45" i="18"/>
  <c r="Z45" i="18"/>
  <c r="AA45" i="18"/>
  <c r="I45" i="18"/>
  <c r="P45" i="18"/>
  <c r="Z118" i="18"/>
  <c r="X118" i="18"/>
  <c r="I118" i="18"/>
  <c r="AA118" i="18"/>
  <c r="P118" i="18"/>
  <c r="Z64" i="18"/>
  <c r="AA64" i="18"/>
  <c r="P64" i="18"/>
  <c r="I64" i="18"/>
  <c r="X64" i="18"/>
  <c r="X156" i="18"/>
  <c r="Z156" i="18"/>
  <c r="P156" i="18"/>
  <c r="I156" i="18"/>
  <c r="AA156" i="18"/>
  <c r="Z184" i="18"/>
  <c r="AA184" i="18"/>
  <c r="I184" i="18"/>
  <c r="P184" i="18"/>
  <c r="X184" i="18"/>
  <c r="Z102" i="18"/>
  <c r="P102" i="18"/>
  <c r="AA102" i="18"/>
  <c r="I102" i="18"/>
  <c r="X102" i="18"/>
  <c r="I55" i="18"/>
  <c r="Z55" i="18"/>
  <c r="AA55" i="18"/>
  <c r="X55" i="18"/>
  <c r="P55" i="18"/>
  <c r="I36" i="18"/>
  <c r="Z36" i="18"/>
  <c r="X36" i="18"/>
  <c r="P36" i="18"/>
  <c r="AA36" i="18"/>
  <c r="Z68" i="18"/>
  <c r="AA68" i="18"/>
  <c r="P68" i="18"/>
  <c r="X68" i="18"/>
  <c r="I68" i="18"/>
  <c r="X136" i="18"/>
  <c r="AA136" i="18"/>
  <c r="P136" i="18"/>
  <c r="Z136" i="18"/>
  <c r="I136" i="18"/>
  <c r="I165" i="18"/>
  <c r="X165" i="18"/>
  <c r="Z165" i="18"/>
  <c r="AA165" i="18"/>
  <c r="P165" i="18"/>
  <c r="X91" i="18"/>
  <c r="I91" i="18"/>
  <c r="AA91" i="18"/>
  <c r="Z91" i="18"/>
  <c r="P91" i="18"/>
  <c r="P101" i="18"/>
  <c r="Z101" i="18"/>
  <c r="AA101" i="18"/>
  <c r="I101" i="18"/>
  <c r="X101" i="18"/>
  <c r="I52" i="18"/>
  <c r="X52" i="18"/>
  <c r="Z52" i="18"/>
  <c r="P52" i="18"/>
  <c r="AA52" i="18"/>
  <c r="I23" i="18"/>
  <c r="P23" i="18"/>
  <c r="Z23" i="18"/>
  <c r="X23" i="18"/>
  <c r="AA23" i="18"/>
  <c r="P178" i="18"/>
  <c r="X178" i="18"/>
  <c r="I178" i="18"/>
  <c r="AA178" i="18"/>
  <c r="Z178" i="18"/>
  <c r="I200" i="18"/>
  <c r="X200" i="18"/>
  <c r="Z200" i="18"/>
  <c r="P200" i="18"/>
  <c r="AA200" i="18"/>
  <c r="AA14" i="18"/>
  <c r="P14" i="18"/>
  <c r="Z14" i="18"/>
  <c r="X14" i="18"/>
  <c r="I14" i="18"/>
  <c r="X162" i="18"/>
  <c r="Z162" i="18"/>
  <c r="AA162" i="18"/>
  <c r="P162" i="18"/>
  <c r="I162" i="18"/>
  <c r="Z201" i="18"/>
  <c r="AA201" i="18"/>
  <c r="X201" i="18"/>
  <c r="I201" i="18"/>
  <c r="P201" i="18"/>
  <c r="P207" i="18"/>
  <c r="Z207" i="18"/>
  <c r="X207" i="18"/>
  <c r="I207" i="18"/>
  <c r="AA207" i="18"/>
  <c r="AA97" i="18"/>
  <c r="I97" i="18"/>
  <c r="P97" i="18"/>
  <c r="X97" i="18"/>
  <c r="Z97" i="18"/>
  <c r="X191" i="18"/>
  <c r="Z191" i="18"/>
  <c r="AA191" i="18"/>
  <c r="P191" i="18"/>
  <c r="I191" i="18"/>
  <c r="Z113" i="18"/>
  <c r="AA113" i="18"/>
  <c r="P113" i="18"/>
  <c r="X113" i="18"/>
  <c r="I113" i="18"/>
  <c r="X121" i="18"/>
  <c r="AA121" i="18"/>
  <c r="P121" i="18"/>
  <c r="Z121" i="18"/>
  <c r="I121" i="18"/>
  <c r="I153" i="18"/>
  <c r="X153" i="18"/>
  <c r="P153" i="18"/>
  <c r="Z153" i="18"/>
  <c r="AA153" i="18"/>
  <c r="I73" i="18"/>
  <c r="Z73" i="18"/>
  <c r="AA73" i="18"/>
  <c r="X73" i="18"/>
  <c r="P73" i="18"/>
  <c r="AA99" i="18"/>
  <c r="I99" i="18"/>
  <c r="P99" i="18"/>
  <c r="X99" i="18"/>
  <c r="Z99" i="18"/>
  <c r="I125" i="18"/>
  <c r="X125" i="18"/>
  <c r="Z125" i="18"/>
  <c r="AA125" i="18"/>
  <c r="P125" i="18"/>
  <c r="P26" i="18"/>
  <c r="X26" i="18"/>
  <c r="AA26" i="18"/>
  <c r="I26" i="18"/>
  <c r="Z26" i="18"/>
  <c r="AA139" i="18"/>
  <c r="P139" i="18"/>
  <c r="I139" i="18"/>
  <c r="Z139" i="18"/>
  <c r="X139" i="18"/>
  <c r="AA117" i="18"/>
  <c r="P117" i="18"/>
  <c r="I117" i="18"/>
  <c r="X117" i="18"/>
  <c r="Z117" i="18"/>
  <c r="AA100" i="18"/>
  <c r="P100" i="18"/>
  <c r="I100" i="18"/>
  <c r="Z100" i="18"/>
  <c r="X100" i="18"/>
  <c r="X116" i="18"/>
  <c r="AA116" i="18"/>
  <c r="Z116" i="18"/>
  <c r="P116" i="18"/>
  <c r="I116" i="18"/>
  <c r="I148" i="18"/>
  <c r="AA148" i="18"/>
  <c r="P148" i="18"/>
  <c r="Z148" i="18"/>
  <c r="X148" i="18"/>
  <c r="P94" i="18"/>
  <c r="X94" i="18"/>
  <c r="AA94" i="18"/>
  <c r="Z94" i="18"/>
  <c r="I94" i="18"/>
  <c r="I79" i="18"/>
  <c r="Z79" i="18"/>
  <c r="X79" i="18"/>
  <c r="P79" i="18"/>
  <c r="AA79" i="18"/>
  <c r="X193" i="18"/>
  <c r="P193" i="18"/>
  <c r="I193" i="18"/>
  <c r="Z193" i="18"/>
  <c r="AA193" i="18"/>
  <c r="Z50" i="18"/>
  <c r="P50" i="18"/>
  <c r="AA50" i="18"/>
  <c r="X50" i="18"/>
  <c r="I50" i="18"/>
  <c r="AA19" i="18"/>
  <c r="Z19" i="18"/>
  <c r="X19" i="18"/>
  <c r="I19" i="18"/>
  <c r="P19" i="18"/>
  <c r="P179" i="18"/>
  <c r="X179" i="18"/>
  <c r="I179" i="18"/>
  <c r="AA179" i="18"/>
  <c r="Z179" i="18"/>
  <c r="P27" i="18"/>
  <c r="AA27" i="18"/>
  <c r="I27" i="18"/>
  <c r="Z27" i="18"/>
  <c r="X27" i="18"/>
  <c r="P151" i="18"/>
  <c r="Z151" i="18"/>
  <c r="X151" i="18"/>
  <c r="AA151" i="18"/>
  <c r="I151" i="18"/>
  <c r="AA66" i="18"/>
  <c r="Z66" i="18"/>
  <c r="P66" i="18"/>
  <c r="X66" i="18"/>
  <c r="I66" i="18"/>
  <c r="AA56" i="18"/>
  <c r="X56" i="18"/>
  <c r="Z56" i="18"/>
  <c r="I56" i="18"/>
  <c r="P56" i="18"/>
  <c r="I177" i="18"/>
  <c r="Z177" i="18"/>
  <c r="AA177" i="18"/>
  <c r="P177" i="18"/>
  <c r="X177" i="18"/>
  <c r="AA114" i="18"/>
  <c r="I114" i="18"/>
  <c r="X114" i="18"/>
  <c r="P114" i="18"/>
  <c r="Z114" i="18"/>
  <c r="X38" i="18"/>
  <c r="P38" i="18"/>
  <c r="AA38" i="18"/>
  <c r="I38" i="18"/>
  <c r="Z38" i="18"/>
  <c r="Z149" i="18"/>
  <c r="I149" i="18"/>
  <c r="X149" i="18"/>
  <c r="P149" i="18"/>
  <c r="AA149" i="18"/>
  <c r="X182" i="18"/>
  <c r="AA182" i="18"/>
  <c r="Z182" i="18"/>
  <c r="P182" i="18"/>
  <c r="I182" i="18"/>
  <c r="P89" i="18"/>
  <c r="Z89" i="18"/>
  <c r="AA89" i="18"/>
  <c r="X89" i="18"/>
  <c r="I89" i="18"/>
  <c r="Z51" i="18"/>
  <c r="X51" i="18"/>
  <c r="I51" i="18"/>
  <c r="AA51" i="18"/>
  <c r="P51" i="18"/>
  <c r="AA30" i="18"/>
  <c r="P30" i="18"/>
  <c r="X30" i="18"/>
  <c r="I30" i="18"/>
  <c r="Z30" i="18"/>
  <c r="X183" i="18"/>
  <c r="Z183" i="18"/>
  <c r="P183" i="18"/>
  <c r="I183" i="18"/>
  <c r="AA183" i="18"/>
  <c r="P134" i="18"/>
  <c r="Z134" i="18"/>
  <c r="AA134" i="18"/>
  <c r="I134" i="18"/>
  <c r="X134" i="18"/>
  <c r="AA84" i="18"/>
  <c r="X84" i="18"/>
  <c r="Z84" i="18"/>
  <c r="I84" i="18"/>
  <c r="P84" i="18"/>
  <c r="I146" i="18"/>
  <c r="X146" i="18"/>
  <c r="AA146" i="18"/>
  <c r="Z146" i="18"/>
  <c r="P146" i="18"/>
  <c r="AA61" i="18"/>
  <c r="X61" i="18"/>
  <c r="Z61" i="18"/>
  <c r="I61" i="18"/>
  <c r="P61" i="18"/>
  <c r="X69" i="18"/>
  <c r="Z69" i="18"/>
  <c r="P69" i="18"/>
  <c r="AA69" i="18"/>
  <c r="I69" i="18"/>
  <c r="P180" i="18"/>
  <c r="Z180" i="18"/>
  <c r="AA180" i="18"/>
  <c r="X180" i="18"/>
  <c r="I180" i="18"/>
  <c r="X33" i="18"/>
  <c r="I33" i="18"/>
  <c r="Z33" i="18"/>
  <c r="P33" i="18"/>
  <c r="AA33" i="18"/>
  <c r="AA122" i="18"/>
  <c r="P122" i="18"/>
  <c r="X122" i="18"/>
  <c r="Z122" i="18"/>
  <c r="I122" i="18"/>
  <c r="AA47" i="18"/>
  <c r="I47" i="18"/>
  <c r="P47" i="18"/>
  <c r="X47" i="18"/>
  <c r="Z47" i="18"/>
  <c r="P85" i="18"/>
  <c r="I85" i="18"/>
  <c r="AA85" i="18"/>
  <c r="Z85" i="18"/>
  <c r="X85" i="18"/>
  <c r="Z172" i="18"/>
  <c r="I172" i="18"/>
  <c r="P172" i="18"/>
  <c r="AA172" i="18"/>
  <c r="X172" i="18"/>
  <c r="I181" i="18"/>
  <c r="AA181" i="18"/>
  <c r="P181" i="18"/>
  <c r="X181" i="18"/>
  <c r="Z181" i="18"/>
  <c r="X130" i="18"/>
  <c r="P130" i="18"/>
  <c r="AA130" i="18"/>
  <c r="I130" i="18"/>
  <c r="Z130" i="18"/>
  <c r="I86" i="18"/>
  <c r="Z86" i="18"/>
  <c r="X86" i="18"/>
  <c r="AA86" i="18"/>
  <c r="P86" i="18"/>
  <c r="P204" i="18"/>
  <c r="AA204" i="18"/>
  <c r="I204" i="18"/>
  <c r="X204" i="18"/>
  <c r="Z204" i="18"/>
</calcChain>
</file>

<file path=xl/sharedStrings.xml><?xml version="1.0" encoding="utf-8"?>
<sst xmlns="http://schemas.openxmlformats.org/spreadsheetml/2006/main" count="326" uniqueCount="161">
  <si>
    <t>Age</t>
  </si>
  <si>
    <t>10 mile</t>
  </si>
  <si>
    <t>15 mile</t>
  </si>
  <si>
    <t>25 mile</t>
  </si>
  <si>
    <t>30 mile</t>
  </si>
  <si>
    <t>50 mile</t>
  </si>
  <si>
    <t>100 mile</t>
  </si>
  <si>
    <t>RESULTS REPORTING</t>
  </si>
  <si>
    <t>See Updates worksheet for details of recent revisions.</t>
  </si>
  <si>
    <t>Please enter event details here. You require to enter these details only once.</t>
  </si>
  <si>
    <t>Use tab or arrow keys to navigate between fields.</t>
  </si>
  <si>
    <t>Event name</t>
  </si>
  <si>
    <t>Ronnie MacDonald 10 mile TT</t>
  </si>
  <si>
    <t>Event date</t>
  </si>
  <si>
    <t>Day</t>
  </si>
  <si>
    <t>Month</t>
  </si>
  <si>
    <t>Year</t>
  </si>
  <si>
    <t>Start Time</t>
  </si>
  <si>
    <t>Hour</t>
  </si>
  <si>
    <t>Minute</t>
  </si>
  <si>
    <t>Standard Distance</t>
  </si>
  <si>
    <t>(select cell, click down arrow and select dist. in miles/hours)</t>
  </si>
  <si>
    <t>Non standard distance</t>
  </si>
  <si>
    <t>(type non-standard distance here in miles)</t>
  </si>
  <si>
    <t>Course</t>
  </si>
  <si>
    <t>A9</t>
  </si>
  <si>
    <t>Promoting Body</t>
  </si>
  <si>
    <t>Organiser</t>
  </si>
  <si>
    <t>James Robertson</t>
  </si>
  <si>
    <t>Organiser's telephone</t>
  </si>
  <si>
    <t>Commissaire</t>
  </si>
  <si>
    <t>Gavin Clarke</t>
  </si>
  <si>
    <t>Timekeeper Start</t>
  </si>
  <si>
    <t>Lesley-anne Robertson</t>
  </si>
  <si>
    <t>Watch No. 1</t>
  </si>
  <si>
    <t>Watch No. 2</t>
  </si>
  <si>
    <t>Timekeeper Finish</t>
  </si>
  <si>
    <t>Sam Inch</t>
  </si>
  <si>
    <t>Rider No.</t>
  </si>
  <si>
    <t>Forename</t>
  </si>
  <si>
    <t>Surname</t>
  </si>
  <si>
    <t>Name</t>
  </si>
  <si>
    <t>Club / Team</t>
  </si>
  <si>
    <t>Cat</t>
  </si>
  <si>
    <t>Member No.</t>
  </si>
  <si>
    <t>Best Time</t>
  </si>
  <si>
    <t>DOB</t>
  </si>
  <si>
    <t>H'Cap</t>
  </si>
  <si>
    <t>Vet Std M</t>
  </si>
  <si>
    <t>Vet Std F</t>
  </si>
  <si>
    <t>Vet Std</t>
  </si>
  <si>
    <t>Free Text</t>
  </si>
  <si>
    <t>FV</t>
  </si>
  <si>
    <t>F</t>
  </si>
  <si>
    <t>Ross-Shire RCC</t>
  </si>
  <si>
    <t>JF</t>
  </si>
  <si>
    <t>JM</t>
  </si>
  <si>
    <t>V</t>
  </si>
  <si>
    <t>S</t>
  </si>
  <si>
    <t>Logan</t>
  </si>
  <si>
    <t>Anderson</t>
  </si>
  <si>
    <t>Moray Firth Cycling Club</t>
  </si>
  <si>
    <t>YM</t>
  </si>
  <si>
    <t>Alan</t>
  </si>
  <si>
    <t xml:space="preserve">SIGNING ON SHEET </t>
  </si>
  <si>
    <t>Date :</t>
  </si>
  <si>
    <t>Event/Meeting :</t>
  </si>
  <si>
    <t>Categories :</t>
  </si>
  <si>
    <t xml:space="preserve">  </t>
  </si>
  <si>
    <t>Member No</t>
  </si>
  <si>
    <t>To be completed by Competitors entering 'On-The-Line' only.</t>
  </si>
  <si>
    <t>No.</t>
  </si>
  <si>
    <t>Club / Team Name</t>
  </si>
  <si>
    <t>Signature</t>
  </si>
  <si>
    <t>Day lic. fee</t>
  </si>
  <si>
    <t>Address</t>
  </si>
  <si>
    <t>Tel. No.</t>
  </si>
  <si>
    <t>Y.O.B</t>
  </si>
  <si>
    <t>COMPETITOR START LIST</t>
  </si>
  <si>
    <t>Rank</t>
  </si>
  <si>
    <t>Rider</t>
  </si>
  <si>
    <t>Team</t>
  </si>
  <si>
    <t>Member</t>
  </si>
  <si>
    <t>Finish Time</t>
  </si>
  <si>
    <t>Race Time</t>
  </si>
  <si>
    <t>H'Cap Allow.</t>
  </si>
  <si>
    <t>Nett Time</t>
  </si>
  <si>
    <t>Plus</t>
  </si>
  <si>
    <t>Info</t>
  </si>
  <si>
    <r>
      <t xml:space="preserve">SCOTTISH CYCLING
</t>
    </r>
    <r>
      <rPr>
        <sz val="16"/>
        <rFont val="Arial"/>
        <family val="2"/>
      </rPr>
      <t>TIME TRIAL RETURN</t>
    </r>
  </si>
  <si>
    <t>Event</t>
  </si>
  <si>
    <t>Date</t>
  </si>
  <si>
    <t>Event Distance</t>
  </si>
  <si>
    <t>miles</t>
  </si>
  <si>
    <t>Organiser Tel.</t>
  </si>
  <si>
    <t>Watch No</t>
  </si>
  <si>
    <r>
      <t xml:space="preserve">Please email the result as soon as possible after event to </t>
    </r>
    <r>
      <rPr>
        <b/>
        <i/>
        <sz val="10"/>
        <color indexed="12"/>
        <rFont val="Arial"/>
        <family val="2"/>
      </rPr>
      <t xml:space="preserve">events@scottishcycling.org.uk </t>
    </r>
    <r>
      <rPr>
        <i/>
        <sz val="10"/>
        <color indexed="12"/>
        <rFont val="Arial"/>
        <family val="2"/>
      </rPr>
      <t>and</t>
    </r>
    <r>
      <rPr>
        <b/>
        <i/>
        <sz val="10"/>
        <color indexed="12"/>
        <rFont val="Arial"/>
        <family val="2"/>
      </rPr>
      <t xml:space="preserve"> john.m.macmillan@btinternet.com</t>
    </r>
  </si>
  <si>
    <t>Rider No</t>
  </si>
  <si>
    <t>Club</t>
  </si>
  <si>
    <t>H</t>
  </si>
  <si>
    <t>M</t>
  </si>
  <si>
    <t>Time</t>
  </si>
  <si>
    <r>
      <t xml:space="preserve">Time Trial Result
</t>
    </r>
    <r>
      <rPr>
        <sz val="16"/>
        <rFont val="Arial Black"/>
        <family val="2"/>
      </rPr>
      <t>Fastest Order</t>
    </r>
  </si>
  <si>
    <t>Pos</t>
  </si>
  <si>
    <t>% from winner</t>
  </si>
  <si>
    <t>Gear</t>
  </si>
  <si>
    <r>
      <t xml:space="preserve">Time Trial Result
</t>
    </r>
    <r>
      <rPr>
        <sz val="16"/>
        <rFont val="Arial Black"/>
        <family val="2"/>
      </rPr>
      <t>Fastest Order by Handicap Time</t>
    </r>
  </si>
  <si>
    <t>Please note</t>
  </si>
  <si>
    <t>Equal handicap times are not marked equal. Manual insertion of = sign may be added and the file saved. Equal times should be taken into account when awarding handicap prizes.</t>
  </si>
  <si>
    <t>Actual Time</t>
  </si>
  <si>
    <t>Handicap Time</t>
  </si>
  <si>
    <t>=</t>
  </si>
  <si>
    <t>BC</t>
  </si>
  <si>
    <t>Bib</t>
  </si>
  <si>
    <r>
      <t xml:space="preserve">Time Trial Result
</t>
    </r>
    <r>
      <rPr>
        <sz val="16"/>
        <rFont val="Arial Black"/>
        <family val="2"/>
      </rPr>
      <t>Fastest Vet Order</t>
    </r>
  </si>
  <si>
    <t>Notes</t>
  </si>
  <si>
    <t>History</t>
  </si>
  <si>
    <t>Issued</t>
  </si>
  <si>
    <t>Version</t>
  </si>
  <si>
    <t>Update</t>
  </si>
  <si>
    <t>Flagged by</t>
  </si>
  <si>
    <t>Updated following significant changes to VTTA table for 2013</t>
  </si>
  <si>
    <t>Problem with printing signon sheets beyond 125 riders.</t>
  </si>
  <si>
    <t>Dave Bean</t>
  </si>
  <si>
    <t>Missing line on SC Result affecting very large fields.</t>
  </si>
  <si>
    <t>Notes added giving best practice for seeding a time trial field.</t>
  </si>
  <si>
    <t>Bug in Fastest Vet worksheet which prevented display of the second rider where two times were equal.</t>
  </si>
  <si>
    <t>Alan White</t>
  </si>
  <si>
    <t>Health warning added advising users to look out for equality of times in the results and how to manually correct the related finishing positions</t>
  </si>
  <si>
    <t>Capacity increased to 170 riders</t>
  </si>
  <si>
    <t>Issue with over 160 riders</t>
  </si>
  <si>
    <t>100 mile male vets standard for 56 year old corrected</t>
  </si>
  <si>
    <t>Iain McLeod</t>
  </si>
  <si>
    <t>Date format changed on the Start List worksheet</t>
  </si>
  <si>
    <t>Administrative</t>
  </si>
  <si>
    <t>Sheets BC1 and BC2 added to provide a suitable result format for British Cycling</t>
  </si>
  <si>
    <t>Janette Hazlett</t>
  </si>
  <si>
    <t>Column S on Fastest worksheet had been left unhidden making the sheet too wide for A4 page</t>
  </si>
  <si>
    <t>Numbering on Input sheet column A removed in order not to create the impression that rider details have to be entered in ranking order.</t>
  </si>
  <si>
    <t>Re-issue of v15 which slipped out without the change being made.</t>
  </si>
  <si>
    <t>Correction of Vet's age calculation where rider's birthday is on race day</t>
  </si>
  <si>
    <t>Mary Eagleson</t>
  </si>
  <si>
    <t>Amend data validation for year to make future proof</t>
  </si>
  <si>
    <t>Sarah MacIntyre</t>
  </si>
  <si>
    <t>Add 2 column format for name on Input worksheet</t>
  </si>
  <si>
    <t>Format of Input worksheet cell G56 corrected</t>
  </si>
  <si>
    <t>Mhairi Laffoley</t>
  </si>
  <si>
    <t>Correction to spelling of john.m.macmillan@btinternet.com email address</t>
  </si>
  <si>
    <t xml:space="preserve">Facility for processing a 15 mile distance added. </t>
  </si>
  <si>
    <t>Andy Wilson</t>
  </si>
  <si>
    <t>Addition of % of winner column to Fastest result</t>
  </si>
  <si>
    <t>Addition of a ranking sheet for the Handicap classification</t>
  </si>
  <si>
    <t>Martin Harris</t>
  </si>
  <si>
    <t>Correction on Handicap classification worksheet</t>
  </si>
  <si>
    <t>Extension to 200 riders and verification of functions</t>
  </si>
  <si>
    <t>Update of Vet standard times and correction of BC  number problem on BC1 sheet</t>
  </si>
  <si>
    <t>Mhairi Laffoley / Sarah Macintyre</t>
  </si>
  <si>
    <t>Changed number formatting to general, on the free text columns of Input sheet</t>
  </si>
  <si>
    <t>Brian Gourlay</t>
  </si>
  <si>
    <t>Changed the Scottish Cycling logos to the new 2022 branding</t>
  </si>
  <si>
    <t>Alex Marr/ Hamish Cowton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</si>
</sst>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0&quot;#"/>
    <numFmt numFmtId="165" formatCode="h:mm:ss;@"/>
    <numFmt numFmtId="166" formatCode="hh:mm:ss;@"/>
    <numFmt numFmtId="167" formatCode="00"/>
    <numFmt numFmtId="168" formatCode="dd/mm/yyyy;@"/>
    <numFmt numFmtId="169" formatCode="[$-F400]h:mm:ss\ AM/PM"/>
  </numFmts>
  <fonts count="30">
    <font>
      <sz val="10"/>
      <name val="Arial"/>
    </font>
    <font>
      <sz val="11"/>
      <color theme="1"/>
      <name val="Calibri"/>
      <family val="2"/>
      <scheme val="minor"/>
    </font>
    <font>
      <b/>
      <sz val="10"/>
      <name val="Arial"/>
      <family val="2"/>
    </font>
    <font>
      <sz val="16"/>
      <name val="Arial"/>
      <family val="2"/>
    </font>
    <font>
      <sz val="10"/>
      <name val="Arial"/>
      <family val="2"/>
    </font>
    <font>
      <b/>
      <sz val="20"/>
      <name val="Arial Black"/>
      <family val="2"/>
    </font>
    <font>
      <b/>
      <sz val="9"/>
      <name val="Arial"/>
      <family val="2"/>
    </font>
    <font>
      <sz val="9"/>
      <name val="Arial"/>
      <family val="2"/>
    </font>
    <font>
      <sz val="10"/>
      <color indexed="55"/>
      <name val="Arial"/>
      <family val="2"/>
    </font>
    <font>
      <sz val="20"/>
      <name val="Arial Black"/>
      <family val="2"/>
    </font>
    <font>
      <b/>
      <sz val="26"/>
      <name val="Arial"/>
      <family val="2"/>
    </font>
    <font>
      <b/>
      <sz val="22"/>
      <name val="Arial"/>
      <family val="2"/>
    </font>
    <font>
      <i/>
      <sz val="10"/>
      <name val="Arial"/>
      <family val="2"/>
    </font>
    <font>
      <sz val="8"/>
      <name val="Arial"/>
      <family val="2"/>
    </font>
    <font>
      <b/>
      <i/>
      <sz val="10"/>
      <name val="Arial"/>
      <family val="2"/>
    </font>
    <font>
      <b/>
      <i/>
      <sz val="16"/>
      <name val="Arial"/>
      <family val="2"/>
    </font>
    <font>
      <i/>
      <sz val="10"/>
      <color indexed="12"/>
      <name val="Arial"/>
      <family val="2"/>
    </font>
    <font>
      <b/>
      <i/>
      <sz val="10"/>
      <color indexed="12"/>
      <name val="Arial"/>
      <family val="2"/>
    </font>
    <font>
      <i/>
      <sz val="8"/>
      <name val="Arial"/>
      <family val="2"/>
    </font>
    <font>
      <b/>
      <sz val="8"/>
      <name val="Arial"/>
      <family val="2"/>
    </font>
    <font>
      <b/>
      <i/>
      <sz val="12"/>
      <name val="Arial"/>
      <family val="2"/>
    </font>
    <font>
      <sz val="12"/>
      <name val="Arial"/>
      <family val="2"/>
    </font>
    <font>
      <sz val="14"/>
      <name val="Arial"/>
      <family val="2"/>
    </font>
    <font>
      <sz val="16"/>
      <name val="Arial Black"/>
      <family val="2"/>
    </font>
    <font>
      <sz val="10"/>
      <color indexed="8"/>
      <name val="Arial"/>
      <family val="2"/>
    </font>
    <font>
      <i/>
      <sz val="10"/>
      <color indexed="10"/>
      <name val="Arial"/>
      <family val="2"/>
    </font>
    <font>
      <sz val="8"/>
      <name val="Arial"/>
      <family val="2"/>
    </font>
    <font>
      <b/>
      <sz val="16"/>
      <name val="Arial"/>
      <family val="2"/>
    </font>
    <font>
      <i/>
      <sz val="8"/>
      <color rgb="FFFF0000"/>
      <name val="Arial"/>
      <family val="2"/>
    </font>
    <font>
      <b/>
      <i/>
      <sz val="12"/>
      <color indexed="12"/>
      <name val="Arial"/>
      <family val="2"/>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s>
  <cellStyleXfs count="2">
    <xf numFmtId="0" fontId="0" fillId="0" borderId="0"/>
    <xf numFmtId="0" fontId="1" fillId="0" borderId="0"/>
  </cellStyleXfs>
  <cellXfs count="384">
    <xf numFmtId="0" fontId="0" fillId="0" borderId="0" xfId="0"/>
    <xf numFmtId="0" fontId="4" fillId="0" borderId="0" xfId="0" applyFont="1"/>
    <xf numFmtId="0" fontId="5" fillId="0" borderId="0" xfId="0" applyFont="1"/>
    <xf numFmtId="0" fontId="0" fillId="0" borderId="0" xfId="0" applyAlignment="1">
      <alignment horizontal="right"/>
    </xf>
    <xf numFmtId="0" fontId="7" fillId="0" borderId="0" xfId="0" applyFont="1"/>
    <xf numFmtId="0" fontId="6" fillId="0" borderId="0" xfId="0" applyFont="1"/>
    <xf numFmtId="0" fontId="6" fillId="0" borderId="0" xfId="0" applyFont="1" applyAlignment="1">
      <alignment horizontal="center"/>
    </xf>
    <xf numFmtId="0" fontId="5" fillId="0" borderId="0" xfId="0" applyFont="1" applyAlignment="1">
      <alignment horizontal="center" wrapText="1"/>
    </xf>
    <xf numFmtId="0" fontId="10" fillId="0" borderId="0" xfId="0" applyFont="1"/>
    <xf numFmtId="0" fontId="11" fillId="0" borderId="0" xfId="0" applyFont="1"/>
    <xf numFmtId="0" fontId="4" fillId="0" borderId="1" xfId="0" applyFont="1" applyBorder="1"/>
    <xf numFmtId="0" fontId="4" fillId="0" borderId="2" xfId="0" applyFont="1" applyBorder="1" applyAlignment="1">
      <alignment horizontal="center"/>
    </xf>
    <xf numFmtId="0" fontId="2" fillId="0" borderId="0" xfId="0" applyFont="1"/>
    <xf numFmtId="0" fontId="4" fillId="0" borderId="3" xfId="0" applyFont="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center"/>
    </xf>
    <xf numFmtId="0" fontId="4" fillId="0" borderId="7" xfId="0" applyFont="1" applyBorder="1"/>
    <xf numFmtId="0" fontId="4" fillId="0" borderId="8" xfId="0" applyFont="1" applyBorder="1" applyAlignment="1">
      <alignment horizontal="center"/>
    </xf>
    <xf numFmtId="0" fontId="2" fillId="0" borderId="9" xfId="0" applyFont="1" applyBorder="1" applyAlignment="1">
      <alignment horizontal="center"/>
    </xf>
    <xf numFmtId="0" fontId="2" fillId="2" borderId="10" xfId="0" applyFont="1" applyFill="1" applyBorder="1" applyAlignment="1">
      <alignment horizontal="center"/>
    </xf>
    <xf numFmtId="0" fontId="4" fillId="0" borderId="11" xfId="0" applyFont="1" applyBorder="1" applyAlignment="1">
      <alignment horizontal="left"/>
    </xf>
    <xf numFmtId="0" fontId="4" fillId="0" borderId="12" xfId="0" applyFont="1" applyBorder="1" applyAlignment="1">
      <alignment horizontal="left"/>
    </xf>
    <xf numFmtId="0" fontId="4" fillId="0" borderId="13"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0" xfId="0" applyProtection="1">
      <protection locked="0"/>
    </xf>
    <xf numFmtId="0" fontId="4" fillId="0" borderId="0" xfId="0" applyFont="1" applyProtection="1">
      <protection locked="0"/>
    </xf>
    <xf numFmtId="0" fontId="2" fillId="0" borderId="0" xfId="0" applyFont="1" applyAlignment="1">
      <alignment horizontal="left"/>
    </xf>
    <xf numFmtId="0" fontId="0" fillId="0" borderId="18" xfId="0" applyBorder="1" applyAlignment="1">
      <alignment horizontal="left"/>
    </xf>
    <xf numFmtId="0" fontId="0" fillId="0" borderId="19" xfId="0" applyBorder="1" applyAlignment="1">
      <alignment horizontal="left"/>
    </xf>
    <xf numFmtId="14" fontId="0" fillId="0" borderId="0" xfId="0" applyNumberFormat="1"/>
    <xf numFmtId="0" fontId="4" fillId="0" borderId="0" xfId="0" applyFont="1" applyAlignment="1">
      <alignment horizontal="right"/>
    </xf>
    <xf numFmtId="0" fontId="0" fillId="0" borderId="0" xfId="0" applyAlignment="1">
      <alignment horizontal="center"/>
    </xf>
    <xf numFmtId="0" fontId="4" fillId="0" borderId="0" xfId="0" applyFont="1" applyAlignment="1" applyProtection="1">
      <alignment horizontal="center"/>
      <protection locked="0"/>
    </xf>
    <xf numFmtId="46" fontId="0" fillId="0" borderId="0" xfId="0" applyNumberFormat="1"/>
    <xf numFmtId="21" fontId="0" fillId="0" borderId="0" xfId="0" applyNumberFormat="1"/>
    <xf numFmtId="0" fontId="4" fillId="0" borderId="20" xfId="0" applyFont="1" applyBorder="1" applyAlignment="1">
      <alignment horizontal="left"/>
    </xf>
    <xf numFmtId="0" fontId="4" fillId="0" borderId="18" xfId="0" applyFont="1" applyBorder="1" applyAlignment="1">
      <alignment horizontal="left"/>
    </xf>
    <xf numFmtId="0" fontId="4" fillId="0" borderId="21" xfId="0" applyFont="1" applyBorder="1" applyAlignment="1">
      <alignment horizontal="left"/>
    </xf>
    <xf numFmtId="0" fontId="4" fillId="0" borderId="22" xfId="0" applyFont="1" applyBorder="1" applyAlignment="1">
      <alignment horizontal="left"/>
    </xf>
    <xf numFmtId="0" fontId="0" fillId="0" borderId="23" xfId="0" applyBorder="1" applyAlignment="1">
      <alignment horizontal="center"/>
    </xf>
    <xf numFmtId="0" fontId="0" fillId="0" borderId="24" xfId="0" applyBorder="1" applyAlignment="1">
      <alignment horizontal="left"/>
    </xf>
    <xf numFmtId="0" fontId="0" fillId="0" borderId="25" xfId="0" applyBorder="1" applyAlignment="1">
      <alignment horizontal="center"/>
    </xf>
    <xf numFmtId="0" fontId="4" fillId="0" borderId="26" xfId="0" applyFont="1" applyBorder="1" applyAlignment="1">
      <alignment horizontal="center"/>
    </xf>
    <xf numFmtId="0" fontId="0" fillId="0" borderId="18" xfId="0" applyBorder="1"/>
    <xf numFmtId="0" fontId="4" fillId="0" borderId="23" xfId="0" applyFont="1" applyBorder="1" applyAlignment="1">
      <alignment horizontal="center"/>
    </xf>
    <xf numFmtId="0" fontId="4" fillId="0" borderId="5" xfId="0" applyFont="1" applyBorder="1"/>
    <xf numFmtId="0" fontId="4" fillId="0" borderId="13" xfId="0" applyFont="1" applyBorder="1"/>
    <xf numFmtId="0" fontId="4" fillId="0" borderId="18" xfId="0" applyFont="1" applyBorder="1"/>
    <xf numFmtId="0" fontId="4" fillId="0" borderId="28" xfId="0" applyFont="1" applyBorder="1" applyAlignment="1">
      <alignment horizontal="left"/>
    </xf>
    <xf numFmtId="0" fontId="4" fillId="0" borderId="4" xfId="0" applyFont="1" applyBorder="1" applyAlignment="1">
      <alignment horizontal="center"/>
    </xf>
    <xf numFmtId="0" fontId="0" fillId="0" borderId="29" xfId="0" applyBorder="1" applyAlignment="1">
      <alignment horizontal="left"/>
    </xf>
    <xf numFmtId="0" fontId="4" fillId="0" borderId="22" xfId="0" applyFont="1" applyBorder="1" applyAlignment="1">
      <alignment horizontal="center"/>
    </xf>
    <xf numFmtId="0" fontId="4" fillId="0" borderId="20" xfId="0" applyFont="1" applyBorder="1"/>
    <xf numFmtId="0" fontId="4" fillId="0" borderId="21" xfId="0" applyFont="1" applyBorder="1"/>
    <xf numFmtId="0" fontId="4" fillId="0" borderId="27" xfId="0" applyFont="1" applyBorder="1"/>
    <xf numFmtId="0" fontId="4" fillId="0" borderId="26" xfId="0" applyFont="1" applyBorder="1"/>
    <xf numFmtId="0" fontId="4" fillId="0" borderId="30" xfId="0" applyFont="1" applyBorder="1"/>
    <xf numFmtId="0" fontId="4" fillId="0" borderId="31" xfId="0" applyFont="1" applyBorder="1"/>
    <xf numFmtId="0" fontId="4" fillId="0" borderId="32" xfId="0" applyFont="1" applyBorder="1"/>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center"/>
    </xf>
    <xf numFmtId="0" fontId="5" fillId="0" borderId="0" xfId="0" applyFont="1" applyProtection="1">
      <protection locked="0"/>
    </xf>
    <xf numFmtId="0" fontId="0" fillId="0" borderId="0" xfId="0" applyAlignment="1" applyProtection="1">
      <alignment horizontal="right"/>
      <protection locked="0"/>
    </xf>
    <xf numFmtId="0" fontId="4" fillId="0" borderId="0" xfId="0" applyFont="1" applyAlignment="1" applyProtection="1">
      <alignment horizontal="right"/>
      <protection locked="0"/>
    </xf>
    <xf numFmtId="164" fontId="0" fillId="0" borderId="0" xfId="0" applyNumberFormat="1" applyAlignment="1" applyProtection="1">
      <alignment horizontal="left"/>
      <protection locked="0"/>
    </xf>
    <xf numFmtId="0" fontId="6" fillId="0" borderId="0" xfId="0" applyFont="1" applyAlignment="1" applyProtection="1">
      <alignment horizontal="center" wrapText="1"/>
      <protection locked="0"/>
    </xf>
    <xf numFmtId="0" fontId="6" fillId="0" borderId="0" xfId="0" applyFont="1" applyProtection="1">
      <protection locked="0"/>
    </xf>
    <xf numFmtId="0" fontId="7" fillId="0" borderId="0" xfId="0" applyFont="1" applyProtection="1">
      <protection locked="0"/>
    </xf>
    <xf numFmtId="0" fontId="6" fillId="0" borderId="0" xfId="0" applyFont="1" applyAlignment="1" applyProtection="1">
      <alignment horizontal="centerContinuous"/>
      <protection locked="0"/>
    </xf>
    <xf numFmtId="0" fontId="7"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6" fillId="0" borderId="0" xfId="0" applyFont="1" applyAlignment="1" applyProtection="1">
      <alignment horizontal="center"/>
      <protection locked="0"/>
    </xf>
    <xf numFmtId="0" fontId="0" fillId="0" borderId="21" xfId="0" applyBorder="1" applyAlignment="1" applyProtection="1">
      <alignment horizontal="center"/>
      <protection locked="0"/>
    </xf>
    <xf numFmtId="0" fontId="0" fillId="0" borderId="33" xfId="0" applyBorder="1" applyAlignment="1" applyProtection="1">
      <alignment horizontal="center"/>
      <protection locked="0"/>
    </xf>
    <xf numFmtId="0" fontId="4" fillId="0" borderId="10" xfId="0" applyFont="1" applyBorder="1" applyAlignment="1">
      <alignment horizontal="right" vertical="center"/>
    </xf>
    <xf numFmtId="0" fontId="22" fillId="0" borderId="0" xfId="0" applyFont="1"/>
    <xf numFmtId="0" fontId="21" fillId="0" borderId="0" xfId="0" applyFont="1"/>
    <xf numFmtId="0" fontId="20" fillId="0" borderId="0" xfId="0" applyFont="1" applyAlignment="1">
      <alignment horizontal="centerContinuous"/>
    </xf>
    <xf numFmtId="0" fontId="0" fillId="0" borderId="0" xfId="0" applyAlignment="1">
      <alignment horizontal="centerContinuous"/>
    </xf>
    <xf numFmtId="0" fontId="2" fillId="0" borderId="25" xfId="0" applyFont="1" applyBorder="1"/>
    <xf numFmtId="0" fontId="2" fillId="0" borderId="17" xfId="0" applyFont="1" applyBorder="1"/>
    <xf numFmtId="0" fontId="4" fillId="0" borderId="17" xfId="0" applyFont="1" applyBorder="1"/>
    <xf numFmtId="0" fontId="2" fillId="0" borderId="17" xfId="0" applyFont="1" applyBorder="1" applyAlignment="1">
      <alignment horizontal="center"/>
    </xf>
    <xf numFmtId="0" fontId="2" fillId="0" borderId="17" xfId="0" applyFont="1" applyBorder="1" applyAlignment="1">
      <alignment horizontal="center" wrapText="1"/>
    </xf>
    <xf numFmtId="0" fontId="2" fillId="0" borderId="22" xfId="0" applyFont="1" applyBorder="1" applyAlignment="1">
      <alignment horizontal="center" wrapText="1"/>
    </xf>
    <xf numFmtId="165" fontId="0" fillId="0" borderId="0" xfId="0" applyNumberFormat="1"/>
    <xf numFmtId="0" fontId="0" fillId="0" borderId="33" xfId="0" applyBorder="1" applyAlignment="1">
      <alignment horizontal="left"/>
    </xf>
    <xf numFmtId="0" fontId="0" fillId="0" borderId="21" xfId="0" applyBorder="1" applyAlignment="1">
      <alignment horizontal="left"/>
    </xf>
    <xf numFmtId="0" fontId="4" fillId="0" borderId="24" xfId="0" applyFont="1" applyBorder="1" applyAlignment="1">
      <alignment horizontal="left"/>
    </xf>
    <xf numFmtId="0" fontId="9" fillId="0" borderId="0" xfId="0" applyFont="1" applyAlignment="1">
      <alignment horizontal="centerContinuous" wrapText="1"/>
    </xf>
    <xf numFmtId="0" fontId="0" fillId="0" borderId="23" xfId="0" applyBorder="1" applyAlignment="1">
      <alignment horizontal="left"/>
    </xf>
    <xf numFmtId="0" fontId="0" fillId="0" borderId="25" xfId="0" applyBorder="1" applyAlignment="1">
      <alignment horizontal="left"/>
    </xf>
    <xf numFmtId="0" fontId="2" fillId="0" borderId="35" xfId="0" applyFont="1" applyBorder="1" applyAlignment="1">
      <alignment horizontal="left"/>
    </xf>
    <xf numFmtId="0" fontId="0" fillId="0" borderId="35" xfId="0" applyBorder="1" applyAlignment="1">
      <alignment horizontal="centerContinuous"/>
    </xf>
    <xf numFmtId="46" fontId="4" fillId="0" borderId="0" xfId="0" applyNumberFormat="1" applyFont="1" applyProtection="1">
      <protection locked="0"/>
    </xf>
    <xf numFmtId="166" fontId="4" fillId="0" borderId="0" xfId="0" applyNumberFormat="1" applyFont="1" applyProtection="1">
      <protection locked="0"/>
    </xf>
    <xf numFmtId="0" fontId="16" fillId="0" borderId="0" xfId="0" applyFont="1" applyAlignment="1" applyProtection="1">
      <alignment horizontal="centerContinuous" wrapText="1"/>
      <protection locked="0"/>
    </xf>
    <xf numFmtId="0" fontId="0" fillId="0" borderId="0" xfId="0" applyAlignment="1" applyProtection="1">
      <alignment horizontal="centerContinuous" wrapText="1"/>
      <protection locked="0"/>
    </xf>
    <xf numFmtId="0" fontId="27" fillId="0" borderId="0" xfId="0" applyFont="1" applyAlignment="1">
      <alignment horizontal="centerContinuous"/>
    </xf>
    <xf numFmtId="14" fontId="0" fillId="0" borderId="0" xfId="0" applyNumberFormat="1" applyAlignment="1">
      <alignment horizontal="left"/>
    </xf>
    <xf numFmtId="0" fontId="0" fillId="0" borderId="0" xfId="0" applyAlignment="1">
      <alignment horizontal="left"/>
    </xf>
    <xf numFmtId="0" fontId="4" fillId="0" borderId="0" xfId="0" applyFont="1" applyAlignment="1">
      <alignment horizontal="left"/>
    </xf>
    <xf numFmtId="0" fontId="4" fillId="0" borderId="25" xfId="0" applyFont="1" applyBorder="1" applyAlignment="1">
      <alignment horizontal="center"/>
    </xf>
    <xf numFmtId="165" fontId="4" fillId="0" borderId="0" xfId="0" applyNumberFormat="1" applyFont="1"/>
    <xf numFmtId="0" fontId="0" fillId="0" borderId="36" xfId="0" applyBorder="1" applyAlignment="1">
      <alignment horizontal="center"/>
    </xf>
    <xf numFmtId="0" fontId="0" fillId="0" borderId="37" xfId="0" applyBorder="1" applyAlignment="1">
      <alignment horizontal="center"/>
    </xf>
    <xf numFmtId="0" fontId="0" fillId="0" borderId="36" xfId="0" applyBorder="1" applyAlignment="1">
      <alignment horizontal="left"/>
    </xf>
    <xf numFmtId="0" fontId="0" fillId="0" borderId="38" xfId="0" applyBorder="1" applyAlignment="1">
      <alignment horizontal="center"/>
    </xf>
    <xf numFmtId="21" fontId="0" fillId="0" borderId="0" xfId="0" applyNumberFormat="1" applyAlignment="1">
      <alignment horizontal="left"/>
    </xf>
    <xf numFmtId="166" fontId="0" fillId="0" borderId="0" xfId="0" applyNumberFormat="1"/>
    <xf numFmtId="46" fontId="4" fillId="0" borderId="0" xfId="0" applyNumberFormat="1" applyFont="1"/>
    <xf numFmtId="0" fontId="0" fillId="0" borderId="5" xfId="0" applyBorder="1" applyAlignment="1" applyProtection="1">
      <alignment horizontal="center"/>
      <protection locked="0"/>
    </xf>
    <xf numFmtId="167" fontId="0" fillId="0" borderId="5" xfId="0" applyNumberFormat="1" applyBorder="1" applyAlignment="1" applyProtection="1">
      <alignment horizontal="center"/>
      <protection locked="0"/>
    </xf>
    <xf numFmtId="0" fontId="15" fillId="0" borderId="0" xfId="0" applyFont="1" applyAlignment="1" applyProtection="1">
      <alignment horizontal="center"/>
      <protection locked="0"/>
    </xf>
    <xf numFmtId="0" fontId="0" fillId="0" borderId="0" xfId="0" applyAlignment="1" applyProtection="1">
      <alignment horizontal="right" indent="1"/>
      <protection locked="0"/>
    </xf>
    <xf numFmtId="0" fontId="25" fillId="0" borderId="0" xfId="0" applyFont="1" applyProtection="1">
      <protection locked="0"/>
    </xf>
    <xf numFmtId="0" fontId="0" fillId="0" borderId="24" xfId="0" applyBorder="1" applyProtection="1">
      <protection locked="0"/>
    </xf>
    <xf numFmtId="14" fontId="0" fillId="0" borderId="0" xfId="0" applyNumberFormat="1" applyProtection="1">
      <protection locked="0"/>
    </xf>
    <xf numFmtId="0" fontId="4" fillId="0" borderId="0" xfId="0" applyFont="1" applyAlignment="1" applyProtection="1">
      <alignment horizontal="right" indent="1"/>
      <protection locked="0"/>
    </xf>
    <xf numFmtId="0" fontId="13" fillId="0" borderId="0" xfId="0" applyFont="1" applyAlignment="1" applyProtection="1">
      <alignment horizontal="right"/>
      <protection locked="0"/>
    </xf>
    <xf numFmtId="0" fontId="0" fillId="0" borderId="0" xfId="0" applyAlignment="1" applyProtection="1">
      <alignment horizontal="center"/>
      <protection locked="0"/>
    </xf>
    <xf numFmtId="18" fontId="0" fillId="0" borderId="0" xfId="0" applyNumberFormat="1" applyProtection="1">
      <protection locked="0"/>
    </xf>
    <xf numFmtId="0" fontId="18" fillId="0" borderId="0" xfId="0" applyFont="1" applyProtection="1">
      <protection locked="0"/>
    </xf>
    <xf numFmtId="0" fontId="24" fillId="0" borderId="0" xfId="0" applyFont="1" applyAlignment="1" applyProtection="1">
      <alignment horizontal="left" vertical="center" readingOrder="1"/>
      <protection locked="0"/>
    </xf>
    <xf numFmtId="0" fontId="13" fillId="0" borderId="24" xfId="0" applyFont="1" applyBorder="1" applyAlignment="1">
      <alignment horizontal="right"/>
    </xf>
    <xf numFmtId="0" fontId="13" fillId="0" borderId="0" xfId="0" applyFont="1" applyAlignment="1">
      <alignment horizontal="right"/>
    </xf>
    <xf numFmtId="168" fontId="4" fillId="0" borderId="0" xfId="0" applyNumberFormat="1" applyFont="1" applyProtection="1">
      <protection locked="0"/>
    </xf>
    <xf numFmtId="168" fontId="0" fillId="0" borderId="0" xfId="0" applyNumberFormat="1" applyProtection="1">
      <protection locked="0"/>
    </xf>
    <xf numFmtId="0" fontId="4" fillId="0" borderId="0" xfId="0" applyFont="1" applyAlignment="1" applyProtection="1">
      <alignment horizontal="left"/>
      <protection locked="0"/>
    </xf>
    <xf numFmtId="0" fontId="4" fillId="0" borderId="30" xfId="0" applyFont="1" applyBorder="1" applyAlignment="1">
      <alignment horizontal="left"/>
    </xf>
    <xf numFmtId="0" fontId="7" fillId="0" borderId="25" xfId="0" applyFont="1" applyBorder="1" applyAlignment="1" applyProtection="1">
      <alignment horizontal="center"/>
      <protection locked="0"/>
    </xf>
    <xf numFmtId="0" fontId="7" fillId="0" borderId="17" xfId="0" applyFont="1" applyBorder="1"/>
    <xf numFmtId="0" fontId="7" fillId="0" borderId="17" xfId="0" applyFont="1" applyBorder="1" applyAlignment="1">
      <alignment horizontal="center"/>
    </xf>
    <xf numFmtId="0" fontId="7" fillId="0" borderId="16" xfId="0" applyFont="1" applyBorder="1"/>
    <xf numFmtId="0" fontId="7" fillId="0" borderId="22" xfId="0" applyFont="1" applyBorder="1" applyAlignment="1">
      <alignment horizontal="right"/>
    </xf>
    <xf numFmtId="0" fontId="7" fillId="0" borderId="11" xfId="0" applyFont="1" applyBorder="1" applyProtection="1">
      <protection locked="0"/>
    </xf>
    <xf numFmtId="0" fontId="7" fillId="0" borderId="23" xfId="0" applyFont="1" applyBorder="1" applyAlignment="1" applyProtection="1">
      <alignment horizontal="center"/>
      <protection locked="0"/>
    </xf>
    <xf numFmtId="0" fontId="7" fillId="0" borderId="5" xfId="0" applyFont="1" applyBorder="1"/>
    <xf numFmtId="0" fontId="7" fillId="0" borderId="5" xfId="0" applyFont="1" applyBorder="1" applyAlignment="1">
      <alignment horizontal="center"/>
    </xf>
    <xf numFmtId="0" fontId="7" fillId="0" borderId="18" xfId="0" applyFont="1" applyBorder="1"/>
    <xf numFmtId="0" fontId="7" fillId="0" borderId="20" xfId="0" applyFont="1" applyBorder="1" applyAlignment="1">
      <alignment horizontal="right"/>
    </xf>
    <xf numFmtId="165" fontId="7" fillId="0" borderId="18" xfId="0" applyNumberFormat="1" applyFont="1" applyBorder="1" applyAlignment="1">
      <alignment horizontal="left"/>
    </xf>
    <xf numFmtId="0" fontId="7" fillId="0" borderId="26" xfId="0" applyFont="1" applyBorder="1"/>
    <xf numFmtId="0" fontId="7" fillId="0" borderId="26" xfId="0" applyFont="1" applyBorder="1" applyAlignment="1">
      <alignment horizontal="center"/>
    </xf>
    <xf numFmtId="0" fontId="7" fillId="0" borderId="27" xfId="0" applyFont="1" applyBorder="1"/>
    <xf numFmtId="0" fontId="7" fillId="0" borderId="30" xfId="0" applyFont="1" applyBorder="1" applyAlignment="1">
      <alignment horizontal="right"/>
    </xf>
    <xf numFmtId="165" fontId="7" fillId="0" borderId="27" xfId="0" applyNumberFormat="1" applyFont="1" applyBorder="1" applyAlignment="1">
      <alignment horizontal="left"/>
    </xf>
    <xf numFmtId="0" fontId="7" fillId="0" borderId="23" xfId="0" applyFont="1" applyBorder="1" applyAlignment="1">
      <alignment horizontal="center"/>
    </xf>
    <xf numFmtId="20" fontId="7" fillId="0" borderId="5" xfId="0" applyNumberFormat="1" applyFont="1" applyBorder="1"/>
    <xf numFmtId="21" fontId="7" fillId="0" borderId="5" xfId="0" applyNumberFormat="1" applyFont="1" applyBorder="1" applyProtection="1">
      <protection locked="0"/>
    </xf>
    <xf numFmtId="165" fontId="7" fillId="0" borderId="5" xfId="0" applyNumberFormat="1" applyFont="1" applyBorder="1"/>
    <xf numFmtId="0" fontId="7" fillId="0" borderId="39" xfId="0" applyFont="1" applyBorder="1" applyProtection="1">
      <protection locked="0"/>
    </xf>
    <xf numFmtId="0" fontId="7" fillId="0" borderId="40" xfId="0" applyFont="1" applyBorder="1" applyAlignment="1">
      <alignment horizontal="center"/>
    </xf>
    <xf numFmtId="0" fontId="7" fillId="0" borderId="41" xfId="0" applyFont="1" applyBorder="1"/>
    <xf numFmtId="0" fontId="7" fillId="0" borderId="41" xfId="0" applyFont="1" applyBorder="1" applyAlignment="1">
      <alignment horizontal="center"/>
    </xf>
    <xf numFmtId="20" fontId="7" fillId="0" borderId="41" xfId="0" applyNumberFormat="1" applyFont="1" applyBorder="1"/>
    <xf numFmtId="165" fontId="7" fillId="0" borderId="41" xfId="0" applyNumberFormat="1" applyFont="1" applyBorder="1"/>
    <xf numFmtId="0" fontId="7" fillId="0" borderId="42" xfId="0" applyFont="1" applyBorder="1" applyAlignment="1">
      <alignment horizontal="right"/>
    </xf>
    <xf numFmtId="0" fontId="7" fillId="0" borderId="39" xfId="0" applyFont="1" applyBorder="1"/>
    <xf numFmtId="0" fontId="7" fillId="0" borderId="44" xfId="0" applyFont="1" applyBorder="1"/>
    <xf numFmtId="0" fontId="7" fillId="0" borderId="25" xfId="0" applyFont="1" applyBorder="1" applyAlignment="1" applyProtection="1">
      <alignment horizontal="left"/>
      <protection locked="0"/>
    </xf>
    <xf numFmtId="0" fontId="7" fillId="0" borderId="17" xfId="0" applyFont="1" applyBorder="1" applyAlignment="1">
      <alignment horizontal="left" wrapText="1"/>
    </xf>
    <xf numFmtId="0" fontId="7" fillId="0" borderId="22" xfId="0" applyFont="1" applyBorder="1"/>
    <xf numFmtId="0" fontId="7" fillId="0" borderId="29" xfId="0" applyFont="1" applyBorder="1"/>
    <xf numFmtId="0" fontId="7" fillId="0" borderId="22" xfId="0" applyFont="1" applyBorder="1" applyAlignment="1">
      <alignment horizontal="centerContinuous"/>
    </xf>
    <xf numFmtId="0" fontId="7" fillId="0" borderId="16" xfId="0" applyFont="1" applyBorder="1" applyAlignment="1">
      <alignment horizontal="centerContinuous"/>
    </xf>
    <xf numFmtId="165" fontId="7" fillId="0" borderId="16" xfId="0" applyNumberFormat="1" applyFont="1" applyBorder="1" applyAlignment="1">
      <alignment horizontal="left"/>
    </xf>
    <xf numFmtId="0" fontId="7" fillId="0" borderId="22" xfId="0" applyFont="1" applyBorder="1" applyProtection="1">
      <protection locked="0"/>
    </xf>
    <xf numFmtId="0" fontId="7" fillId="0" borderId="34" xfId="0" applyFont="1" applyBorder="1" applyProtection="1">
      <protection locked="0"/>
    </xf>
    <xf numFmtId="0" fontId="7" fillId="0" borderId="23" xfId="0" applyFont="1" applyBorder="1" applyAlignment="1" applyProtection="1">
      <alignment horizontal="left"/>
      <protection locked="0"/>
    </xf>
    <xf numFmtId="0" fontId="7" fillId="0" borderId="5" xfId="0" applyFont="1" applyBorder="1" applyAlignment="1">
      <alignment horizontal="left" wrapText="1"/>
    </xf>
    <xf numFmtId="0" fontId="7" fillId="0" borderId="20" xfId="0" applyFont="1" applyBorder="1"/>
    <xf numFmtId="0" fontId="7" fillId="0" borderId="21" xfId="0" applyFont="1" applyBorder="1"/>
    <xf numFmtId="0" fontId="7" fillId="0" borderId="20" xfId="0" applyFont="1" applyBorder="1" applyAlignment="1">
      <alignment horizontal="centerContinuous"/>
    </xf>
    <xf numFmtId="0" fontId="7" fillId="0" borderId="18" xfId="0" applyFont="1" applyBorder="1" applyAlignment="1">
      <alignment horizontal="centerContinuous"/>
    </xf>
    <xf numFmtId="0" fontId="7" fillId="0" borderId="20" xfId="0" applyFont="1" applyBorder="1" applyProtection="1">
      <protection locked="0"/>
    </xf>
    <xf numFmtId="0" fontId="7" fillId="0" borderId="26" xfId="0" applyFont="1" applyBorder="1" applyAlignment="1">
      <alignment horizontal="left" wrapText="1"/>
    </xf>
    <xf numFmtId="0" fontId="7" fillId="0" borderId="30" xfId="0" applyFont="1" applyBorder="1"/>
    <xf numFmtId="0" fontId="7" fillId="0" borderId="31" xfId="0" applyFont="1" applyBorder="1"/>
    <xf numFmtId="0" fontId="7" fillId="0" borderId="30" xfId="0" applyFont="1" applyBorder="1" applyAlignment="1">
      <alignment horizontal="centerContinuous"/>
    </xf>
    <xf numFmtId="0" fontId="7" fillId="0" borderId="27" xfId="0" applyFont="1" applyBorder="1" applyAlignment="1">
      <alignment horizontal="centerContinuous"/>
    </xf>
    <xf numFmtId="0" fontId="6" fillId="0" borderId="35" xfId="0" applyFont="1" applyBorder="1" applyAlignment="1">
      <alignment horizontal="left"/>
    </xf>
    <xf numFmtId="0" fontId="6" fillId="0" borderId="35" xfId="0" applyFont="1" applyBorder="1"/>
    <xf numFmtId="0" fontId="6" fillId="0" borderId="35" xfId="0" applyFont="1" applyBorder="1" applyAlignment="1">
      <alignment horizontal="centerContinuous"/>
    </xf>
    <xf numFmtId="45" fontId="7" fillId="0" borderId="5" xfId="0" applyNumberFormat="1" applyFont="1" applyBorder="1"/>
    <xf numFmtId="0" fontId="7" fillId="0" borderId="6" xfId="0" applyFont="1" applyBorder="1"/>
    <xf numFmtId="0" fontId="0" fillId="0" borderId="33" xfId="0" applyBorder="1"/>
    <xf numFmtId="0" fontId="0" fillId="0" borderId="21" xfId="0" applyBorder="1"/>
    <xf numFmtId="165" fontId="0" fillId="0" borderId="0" xfId="0" applyNumberFormat="1" applyProtection="1">
      <protection locked="0"/>
    </xf>
    <xf numFmtId="0" fontId="0" fillId="0" borderId="0" xfId="0" applyAlignment="1" applyProtection="1">
      <alignment horizontal="left" vertical="top"/>
      <protection locked="0"/>
    </xf>
    <xf numFmtId="0" fontId="29" fillId="0" borderId="0" xfId="0" applyFont="1" applyAlignment="1" applyProtection="1">
      <alignment horizontal="left" vertical="top"/>
      <protection locked="0"/>
    </xf>
    <xf numFmtId="0" fontId="0" fillId="0" borderId="5" xfId="0" applyBorder="1"/>
    <xf numFmtId="0" fontId="0" fillId="0" borderId="26" xfId="0" applyBorder="1"/>
    <xf numFmtId="0" fontId="0" fillId="0" borderId="6" xfId="0" applyBorder="1" applyAlignment="1">
      <alignment horizontal="center"/>
    </xf>
    <xf numFmtId="0" fontId="4" fillId="0" borderId="5" xfId="0" applyFont="1" applyBorder="1" applyAlignment="1">
      <alignment horizontal="center"/>
    </xf>
    <xf numFmtId="0" fontId="4" fillId="0" borderId="42" xfId="0" applyFont="1" applyBorder="1" applyAlignment="1">
      <alignment horizontal="left"/>
    </xf>
    <xf numFmtId="0" fontId="4" fillId="0" borderId="48" xfId="0" applyFont="1" applyBorder="1"/>
    <xf numFmtId="0" fontId="4" fillId="0" borderId="49" xfId="0" applyFont="1" applyBorder="1" applyAlignment="1">
      <alignment horizontal="left"/>
    </xf>
    <xf numFmtId="0" fontId="0" fillId="0" borderId="48" xfId="0" applyBorder="1"/>
    <xf numFmtId="0" fontId="4" fillId="0" borderId="50" xfId="0" applyFont="1" applyBorder="1" applyAlignment="1">
      <alignment horizontal="center"/>
    </xf>
    <xf numFmtId="0" fontId="4" fillId="0" borderId="41" xfId="0" applyFont="1" applyBorder="1"/>
    <xf numFmtId="0" fontId="4" fillId="0" borderId="42" xfId="0" applyFont="1" applyBorder="1"/>
    <xf numFmtId="0" fontId="4" fillId="0" borderId="51" xfId="0" applyFont="1" applyBorder="1"/>
    <xf numFmtId="0" fontId="4" fillId="0" borderId="26" xfId="0" applyFont="1" applyBorder="1" applyAlignment="1">
      <alignment horizontal="left"/>
    </xf>
    <xf numFmtId="0" fontId="7" fillId="0" borderId="40" xfId="0" applyFont="1" applyBorder="1"/>
    <xf numFmtId="0" fontId="7" fillId="0" borderId="8" xfId="0" applyFont="1" applyBorder="1"/>
    <xf numFmtId="0" fontId="7" fillId="0" borderId="8" xfId="0" applyFont="1" applyBorder="1" applyAlignment="1">
      <alignment horizontal="center"/>
    </xf>
    <xf numFmtId="165" fontId="7" fillId="0" borderId="8" xfId="0" applyNumberFormat="1" applyFont="1" applyBorder="1"/>
    <xf numFmtId="0" fontId="7" fillId="0" borderId="8" xfId="0" applyFont="1" applyBorder="1" applyAlignment="1">
      <alignment horizontal="right"/>
    </xf>
    <xf numFmtId="165" fontId="7" fillId="0" borderId="8" xfId="0" applyNumberFormat="1" applyFont="1" applyBorder="1" applyAlignment="1">
      <alignment horizontal="left"/>
    </xf>
    <xf numFmtId="0" fontId="7" fillId="0" borderId="8" xfId="0" applyFont="1" applyBorder="1" applyAlignment="1">
      <alignment horizontal="left"/>
    </xf>
    <xf numFmtId="0" fontId="7" fillId="0" borderId="8" xfId="0" applyFont="1" applyBorder="1" applyProtection="1">
      <protection locked="0"/>
    </xf>
    <xf numFmtId="10" fontId="7" fillId="0" borderId="8" xfId="0" applyNumberFormat="1" applyFont="1" applyBorder="1"/>
    <xf numFmtId="0" fontId="7" fillId="0" borderId="0" xfId="0" applyFont="1" applyAlignment="1">
      <alignment horizontal="center"/>
    </xf>
    <xf numFmtId="165" fontId="7" fillId="0" borderId="0" xfId="0" applyNumberFormat="1" applyFont="1"/>
    <xf numFmtId="0" fontId="7" fillId="0" borderId="0" xfId="0" applyFont="1" applyAlignment="1">
      <alignment horizontal="right"/>
    </xf>
    <xf numFmtId="165" fontId="7" fillId="0" borderId="0" xfId="0" applyNumberFormat="1" applyFont="1" applyAlignment="1">
      <alignment horizontal="left"/>
    </xf>
    <xf numFmtId="0" fontId="7" fillId="0" borderId="0" xfId="0" applyFont="1" applyAlignment="1">
      <alignment horizontal="left"/>
    </xf>
    <xf numFmtId="10" fontId="7" fillId="0" borderId="0" xfId="0" applyNumberFormat="1" applyFont="1"/>
    <xf numFmtId="0" fontId="7" fillId="0" borderId="16" xfId="0" applyFont="1" applyBorder="1" applyProtection="1">
      <protection locked="0"/>
    </xf>
    <xf numFmtId="0" fontId="7" fillId="0" borderId="18" xfId="0" applyFont="1" applyBorder="1" applyProtection="1">
      <protection locked="0"/>
    </xf>
    <xf numFmtId="0" fontId="7" fillId="0" borderId="42" xfId="0" applyFont="1" applyBorder="1"/>
    <xf numFmtId="0" fontId="7" fillId="0" borderId="23" xfId="0" applyFont="1" applyBorder="1"/>
    <xf numFmtId="0" fontId="7" fillId="0" borderId="13" xfId="0" applyFont="1" applyBorder="1"/>
    <xf numFmtId="0" fontId="7" fillId="0" borderId="32" xfId="0" applyFont="1" applyBorder="1"/>
    <xf numFmtId="165" fontId="7" fillId="0" borderId="18" xfId="0" applyNumberFormat="1" applyFont="1" applyBorder="1"/>
    <xf numFmtId="0" fontId="2" fillId="0" borderId="16" xfId="0" applyFont="1" applyBorder="1" applyAlignment="1">
      <alignment horizontal="center" wrapText="1"/>
    </xf>
    <xf numFmtId="0" fontId="2" fillId="0" borderId="11" xfId="0" applyFont="1" applyBorder="1" applyAlignment="1">
      <alignment horizontal="center" wrapText="1"/>
    </xf>
    <xf numFmtId="0" fontId="7" fillId="0" borderId="13" xfId="0" applyFont="1" applyBorder="1" applyProtection="1">
      <protection locked="0"/>
    </xf>
    <xf numFmtId="165" fontId="7" fillId="0" borderId="48" xfId="0" applyNumberFormat="1" applyFont="1" applyBorder="1"/>
    <xf numFmtId="0" fontId="7" fillId="0" borderId="51" xfId="0" applyFont="1" applyBorder="1" applyProtection="1">
      <protection locked="0"/>
    </xf>
    <xf numFmtId="10" fontId="13" fillId="0" borderId="13" xfId="0" applyNumberFormat="1" applyFont="1" applyBorder="1"/>
    <xf numFmtId="0" fontId="0" fillId="0" borderId="52" xfId="0" applyBorder="1" applyAlignment="1">
      <alignment horizontal="center"/>
    </xf>
    <xf numFmtId="0" fontId="7" fillId="0" borderId="26" xfId="0" applyFont="1" applyBorder="1" applyAlignment="1" applyProtection="1">
      <alignment horizontal="center"/>
      <protection locked="0"/>
    </xf>
    <xf numFmtId="0" fontId="0" fillId="0" borderId="53" xfId="0" applyBorder="1"/>
    <xf numFmtId="0" fontId="0" fillId="0" borderId="26" xfId="0" applyBorder="1" applyAlignment="1">
      <alignment horizontal="left"/>
    </xf>
    <xf numFmtId="0" fontId="7" fillId="0" borderId="26" xfId="0" applyFont="1" applyBorder="1" applyAlignment="1" applyProtection="1">
      <alignment horizontal="left"/>
      <protection locked="0"/>
    </xf>
    <xf numFmtId="0" fontId="0" fillId="0" borderId="5" xfId="0" applyBorder="1" applyAlignment="1">
      <alignment horizontal="left"/>
    </xf>
    <xf numFmtId="0" fontId="7" fillId="0" borderId="5" xfId="0" applyFont="1" applyBorder="1" applyAlignment="1" applyProtection="1">
      <alignment horizontal="left"/>
      <protection locked="0"/>
    </xf>
    <xf numFmtId="0" fontId="0" fillId="0" borderId="41" xfId="0" applyBorder="1" applyAlignment="1">
      <alignment horizontal="left"/>
    </xf>
    <xf numFmtId="0" fontId="7" fillId="0" borderId="41" xfId="0" applyFont="1" applyBorder="1" applyAlignment="1" applyProtection="1">
      <alignment horizontal="left"/>
      <protection locked="0"/>
    </xf>
    <xf numFmtId="0" fontId="7" fillId="0" borderId="41" xfId="0" applyFont="1" applyBorder="1" applyAlignment="1">
      <alignment horizontal="left" wrapText="1"/>
    </xf>
    <xf numFmtId="0" fontId="7" fillId="0" borderId="24" xfId="0" applyFont="1" applyBorder="1"/>
    <xf numFmtId="0" fontId="7" fillId="0" borderId="48" xfId="0" applyFont="1" applyBorder="1"/>
    <xf numFmtId="0" fontId="7" fillId="0" borderId="42" xfId="0" applyFont="1" applyBorder="1" applyAlignment="1">
      <alignment horizontal="centerContinuous"/>
    </xf>
    <xf numFmtId="0" fontId="7" fillId="0" borderId="48" xfId="0" applyFont="1" applyBorder="1" applyAlignment="1">
      <alignment horizontal="centerContinuous"/>
    </xf>
    <xf numFmtId="165" fontId="7" fillId="0" borderId="48" xfId="0" applyNumberFormat="1" applyFont="1" applyBorder="1" applyAlignment="1">
      <alignment horizontal="left"/>
    </xf>
    <xf numFmtId="0" fontId="7" fillId="0" borderId="43" xfId="0" applyFont="1" applyBorder="1"/>
    <xf numFmtId="169" fontId="1" fillId="0" borderId="0" xfId="1" applyNumberFormat="1"/>
    <xf numFmtId="169" fontId="0" fillId="0" borderId="0" xfId="0" applyNumberFormat="1"/>
    <xf numFmtId="14" fontId="4" fillId="0" borderId="0" xfId="0" applyNumberFormat="1" applyFont="1" applyProtection="1">
      <protection locked="0"/>
    </xf>
    <xf numFmtId="0" fontId="27" fillId="0" borderId="0" xfId="0" applyFont="1" applyAlignment="1" applyProtection="1">
      <alignment horizontal="left"/>
      <protection locked="0"/>
    </xf>
    <xf numFmtId="165" fontId="4" fillId="0" borderId="0" xfId="0" applyNumberFormat="1" applyFont="1" applyProtection="1">
      <protection locked="0"/>
    </xf>
    <xf numFmtId="0" fontId="8" fillId="0" borderId="5"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8" fillId="0" borderId="26" xfId="0" applyFont="1" applyBorder="1" applyAlignment="1" applyProtection="1">
      <alignment horizontal="center"/>
      <protection locked="0"/>
    </xf>
    <xf numFmtId="0" fontId="4" fillId="0" borderId="33" xfId="0" applyFont="1" applyBorder="1" applyAlignment="1" applyProtection="1">
      <alignment horizontal="left"/>
      <protection locked="0"/>
    </xf>
    <xf numFmtId="0" fontId="0" fillId="0" borderId="33" xfId="0" applyBorder="1" applyAlignment="1" applyProtection="1">
      <alignment horizontal="left"/>
      <protection locked="0"/>
    </xf>
    <xf numFmtId="0" fontId="28" fillId="0" borderId="0" xfId="0" applyFont="1" applyAlignment="1" applyProtection="1">
      <alignment vertical="center" wrapText="1"/>
      <protection locked="0"/>
    </xf>
    <xf numFmtId="0" fontId="0" fillId="0" borderId="0" xfId="0" applyAlignment="1" applyProtection="1">
      <alignment vertical="center" wrapText="1"/>
      <protection locked="0"/>
    </xf>
    <xf numFmtId="164" fontId="4" fillId="0" borderId="33" xfId="0" applyNumberFormat="1" applyFont="1" applyBorder="1" applyAlignment="1" applyProtection="1">
      <alignment horizontal="left"/>
      <protection locked="0"/>
    </xf>
    <xf numFmtId="164" fontId="0" fillId="0" borderId="33" xfId="0" applyNumberFormat="1" applyBorder="1" applyAlignment="1" applyProtection="1">
      <alignment horizontal="left"/>
      <protection locked="0"/>
    </xf>
    <xf numFmtId="0" fontId="4" fillId="0" borderId="5" xfId="0" applyFont="1" applyBorder="1" applyAlignment="1">
      <alignment horizontal="center"/>
    </xf>
    <xf numFmtId="0" fontId="4" fillId="0" borderId="26"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4" fillId="0" borderId="18" xfId="0" applyFont="1" applyBorder="1" applyAlignment="1">
      <alignment horizontal="left"/>
    </xf>
    <xf numFmtId="0" fontId="6" fillId="2" borderId="45" xfId="0" applyFont="1" applyFill="1" applyBorder="1" applyAlignment="1">
      <alignment horizontal="center"/>
    </xf>
    <xf numFmtId="0" fontId="6" fillId="2" borderId="46" xfId="0" applyFont="1" applyFill="1" applyBorder="1" applyAlignment="1">
      <alignment horizontal="center"/>
    </xf>
    <xf numFmtId="0" fontId="14" fillId="2" borderId="10" xfId="0" applyFont="1" applyFill="1" applyBorder="1" applyAlignment="1">
      <alignment horizontal="center"/>
    </xf>
    <xf numFmtId="0" fontId="4" fillId="0" borderId="29" xfId="0" applyFont="1" applyBorder="1" applyAlignment="1">
      <alignment horizontal="left"/>
    </xf>
    <xf numFmtId="0" fontId="4" fillId="0" borderId="16" xfId="0" applyFont="1" applyBorder="1" applyAlignment="1">
      <alignment horizontal="left"/>
    </xf>
    <xf numFmtId="0" fontId="4" fillId="0" borderId="22" xfId="0" applyFont="1" applyBorder="1" applyAlignment="1">
      <alignment horizontal="left"/>
    </xf>
    <xf numFmtId="0" fontId="3" fillId="0" borderId="10" xfId="0" applyFont="1" applyBorder="1" applyAlignment="1">
      <alignment horizontal="center"/>
    </xf>
    <xf numFmtId="0" fontId="4" fillId="0" borderId="10" xfId="0" applyFont="1" applyBorder="1" applyAlignment="1">
      <alignment horizontal="right" vertical="center"/>
    </xf>
    <xf numFmtId="14" fontId="2" fillId="0" borderId="45" xfId="0" applyNumberFormat="1" applyFont="1" applyBorder="1" applyAlignment="1">
      <alignment horizontal="left" vertical="center"/>
    </xf>
    <xf numFmtId="0" fontId="2" fillId="0" borderId="46" xfId="0" applyFont="1" applyBorder="1" applyAlignment="1">
      <alignment horizontal="left"/>
    </xf>
    <xf numFmtId="0" fontId="19" fillId="0" borderId="45" xfId="0" applyFont="1" applyBorder="1" applyAlignment="1">
      <alignment horizontal="center"/>
    </xf>
    <xf numFmtId="0" fontId="19" fillId="0" borderId="46" xfId="0" applyFont="1" applyBorder="1" applyAlignment="1">
      <alignment horizontal="center"/>
    </xf>
    <xf numFmtId="0" fontId="12" fillId="2" borderId="7" xfId="0" applyFont="1" applyFill="1" applyBorder="1" applyAlignment="1">
      <alignment horizontal="center"/>
    </xf>
    <xf numFmtId="0" fontId="12" fillId="2" borderId="8" xfId="0" applyFont="1" applyFill="1" applyBorder="1" applyAlignment="1">
      <alignment horizontal="center"/>
    </xf>
    <xf numFmtId="0" fontId="12" fillId="2" borderId="2" xfId="0" applyFont="1" applyFill="1" applyBorder="1" applyAlignment="1">
      <alignment horizontal="center"/>
    </xf>
    <xf numFmtId="0" fontId="2" fillId="0" borderId="45" xfId="0" applyFont="1" applyBorder="1" applyAlignment="1" applyProtection="1">
      <alignment horizontal="left" vertical="center"/>
      <protection locked="0"/>
    </xf>
    <xf numFmtId="0" fontId="2" fillId="0" borderId="46" xfId="0" applyFont="1" applyBorder="1" applyAlignment="1" applyProtection="1">
      <alignment horizontal="left" vertical="center"/>
      <protection locked="0"/>
    </xf>
    <xf numFmtId="0" fontId="4" fillId="0" borderId="47" xfId="0" applyFont="1" applyBorder="1" applyAlignment="1">
      <alignment horizontal="right" vertical="center"/>
    </xf>
    <xf numFmtId="0" fontId="4" fillId="0" borderId="46" xfId="0" applyFont="1" applyBorder="1" applyAlignment="1">
      <alignment vertical="center"/>
    </xf>
    <xf numFmtId="0" fontId="2" fillId="0" borderId="45" xfId="0" applyFont="1" applyBorder="1" applyAlignment="1">
      <alignment horizontal="left" vertical="center"/>
    </xf>
    <xf numFmtId="0" fontId="2" fillId="0" borderId="47" xfId="0" applyFont="1" applyBorder="1" applyAlignment="1">
      <alignment horizontal="left" vertical="center"/>
    </xf>
    <xf numFmtId="0" fontId="2" fillId="0" borderId="46" xfId="0" applyFont="1" applyBorder="1" applyAlignment="1">
      <alignment horizontal="left" vertical="center"/>
    </xf>
    <xf numFmtId="0" fontId="4" fillId="0" borderId="4" xfId="0" applyFont="1" applyBorder="1" applyAlignment="1">
      <alignment horizontal="left"/>
    </xf>
    <xf numFmtId="0" fontId="2" fillId="0" borderId="14" xfId="0" applyFont="1" applyBorder="1" applyAlignment="1">
      <alignment horizontal="left"/>
    </xf>
    <xf numFmtId="0" fontId="2" fillId="0" borderId="15" xfId="0" applyFont="1" applyBorder="1" applyAlignment="1">
      <alignment horizontal="left"/>
    </xf>
    <xf numFmtId="0" fontId="4" fillId="0" borderId="22" xfId="0" applyFont="1" applyBorder="1" applyAlignment="1">
      <alignment horizontal="center"/>
    </xf>
    <xf numFmtId="0" fontId="4" fillId="0" borderId="16" xfId="0" applyFont="1" applyBorder="1" applyAlignment="1">
      <alignment horizontal="center"/>
    </xf>
    <xf numFmtId="0" fontId="4" fillId="0" borderId="50" xfId="0" applyFont="1" applyBorder="1" applyAlignment="1">
      <alignment horizontal="center"/>
    </xf>
    <xf numFmtId="168" fontId="21" fillId="0" borderId="0" xfId="0" applyNumberFormat="1" applyFont="1" applyAlignment="1">
      <alignment horizontal="left"/>
    </xf>
    <xf numFmtId="0" fontId="0" fillId="0" borderId="40" xfId="0" applyBorder="1" applyAlignment="1">
      <alignment horizontal="center"/>
    </xf>
    <xf numFmtId="0" fontId="0" fillId="0" borderId="41" xfId="0" applyBorder="1" applyAlignment="1">
      <alignment horizontal="center"/>
    </xf>
    <xf numFmtId="46" fontId="2" fillId="0" borderId="41" xfId="0" applyNumberFormat="1" applyFont="1" applyBorder="1" applyAlignment="1">
      <alignment horizontal="center"/>
    </xf>
    <xf numFmtId="0" fontId="8" fillId="0" borderId="5"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0" fillId="0" borderId="6" xfId="0" applyBorder="1" applyAlignment="1">
      <alignment horizontal="center"/>
    </xf>
    <xf numFmtId="0" fontId="0" fillId="0" borderId="26" xfId="0" applyBorder="1" applyAlignment="1">
      <alignment horizontal="center"/>
    </xf>
    <xf numFmtId="46" fontId="2" fillId="0" borderId="26" xfId="0" applyNumberFormat="1" applyFont="1" applyBorder="1" applyAlignment="1">
      <alignment horizontal="center"/>
    </xf>
    <xf numFmtId="0" fontId="8" fillId="0" borderId="26" xfId="0" applyFont="1" applyBorder="1" applyAlignment="1" applyProtection="1">
      <alignment horizontal="center"/>
      <protection locked="0"/>
    </xf>
    <xf numFmtId="0" fontId="8" fillId="0" borderId="32" xfId="0" applyFont="1" applyBorder="1" applyAlignment="1" applyProtection="1">
      <alignment horizontal="center"/>
      <protection locked="0"/>
    </xf>
    <xf numFmtId="46" fontId="2" fillId="0" borderId="5" xfId="0" applyNumberFormat="1" applyFont="1" applyBorder="1" applyAlignment="1">
      <alignment horizontal="center"/>
    </xf>
    <xf numFmtId="0" fontId="0" fillId="0" borderId="5"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0" borderId="17" xfId="0" applyBorder="1" applyAlignment="1">
      <alignment horizontal="center"/>
    </xf>
    <xf numFmtId="0" fontId="6" fillId="0" borderId="0" xfId="0" applyFont="1" applyAlignment="1">
      <alignment horizontal="center" wrapText="1"/>
    </xf>
    <xf numFmtId="0" fontId="6" fillId="0" borderId="0" xfId="0" applyFont="1" applyAlignment="1">
      <alignment horizontal="center"/>
    </xf>
    <xf numFmtId="164" fontId="0" fillId="0" borderId="33" xfId="0" applyNumberFormat="1" applyBorder="1" applyAlignment="1">
      <alignment horizontal="left"/>
    </xf>
    <xf numFmtId="0" fontId="0" fillId="0" borderId="33" xfId="0" applyBorder="1" applyAlignment="1">
      <alignment horizontal="left"/>
    </xf>
    <xf numFmtId="14" fontId="0" fillId="0" borderId="21" xfId="0" applyNumberFormat="1" applyBorder="1" applyAlignment="1">
      <alignment horizontal="left"/>
    </xf>
    <xf numFmtId="0" fontId="0" fillId="0" borderId="21" xfId="0" applyBorder="1" applyAlignment="1">
      <alignment horizontal="left"/>
    </xf>
    <xf numFmtId="0" fontId="0" fillId="0" borderId="21" xfId="0" applyBorder="1" applyAlignment="1">
      <alignment horizontal="center"/>
    </xf>
    <xf numFmtId="0" fontId="4" fillId="0" borderId="24" xfId="0" applyFont="1" applyBorder="1" applyAlignment="1">
      <alignment horizontal="left"/>
    </xf>
    <xf numFmtId="0" fontId="0" fillId="0" borderId="24" xfId="0" applyBorder="1" applyAlignment="1">
      <alignment horizontal="left"/>
    </xf>
    <xf numFmtId="46" fontId="2" fillId="0" borderId="17" xfId="0" applyNumberFormat="1" applyFont="1" applyBorder="1" applyAlignment="1">
      <alignment horizontal="center"/>
    </xf>
    <xf numFmtId="0" fontId="9" fillId="0" borderId="0" xfId="0" applyFont="1" applyAlignment="1">
      <alignment horizontal="center" vertical="top" wrapText="1"/>
    </xf>
    <xf numFmtId="0" fontId="8" fillId="0" borderId="17"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9" fillId="0" borderId="0" xfId="0" applyFont="1" applyAlignment="1" applyProtection="1">
      <alignment horizontal="center" wrapText="1"/>
      <protection locked="0"/>
    </xf>
    <xf numFmtId="0" fontId="6" fillId="0" borderId="0" xfId="0" applyFont="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6" fillId="0" borderId="0" xfId="0" applyFont="1" applyAlignment="1" applyProtection="1">
      <alignment horizontal="center"/>
      <protection locked="0"/>
    </xf>
    <xf numFmtId="0" fontId="0" fillId="0" borderId="0" xfId="0" applyAlignment="1" applyProtection="1">
      <alignment horizontal="center"/>
      <protection locked="0"/>
    </xf>
    <xf numFmtId="165" fontId="7" fillId="0" borderId="29" xfId="0" applyNumberFormat="1" applyFont="1" applyBorder="1" applyAlignment="1">
      <alignment horizontal="left"/>
    </xf>
    <xf numFmtId="0" fontId="0" fillId="0" borderId="29" xfId="0" applyBorder="1" applyAlignment="1">
      <alignment horizontal="left"/>
    </xf>
    <xf numFmtId="0" fontId="0" fillId="0" borderId="16" xfId="0" applyBorder="1" applyAlignment="1">
      <alignment horizontal="left"/>
    </xf>
    <xf numFmtId="165" fontId="7" fillId="0" borderId="21" xfId="0" applyNumberFormat="1" applyFont="1" applyBorder="1" applyAlignment="1">
      <alignment horizontal="left"/>
    </xf>
    <xf numFmtId="0" fontId="0" fillId="0" borderId="18" xfId="0" applyBorder="1" applyAlignment="1">
      <alignment horizontal="left"/>
    </xf>
    <xf numFmtId="164" fontId="0" fillId="0" borderId="21" xfId="0" applyNumberFormat="1" applyBorder="1" applyAlignment="1">
      <alignment horizontal="left"/>
    </xf>
    <xf numFmtId="165" fontId="7" fillId="0" borderId="22" xfId="0" applyNumberFormat="1" applyFont="1" applyBorder="1" applyAlignment="1">
      <alignment horizontal="center"/>
    </xf>
    <xf numFmtId="0" fontId="7" fillId="0" borderId="29" xfId="0" applyFont="1" applyBorder="1" applyAlignment="1">
      <alignment horizontal="center"/>
    </xf>
    <xf numFmtId="0" fontId="7" fillId="0" borderId="16" xfId="0" applyFont="1" applyBorder="1" applyAlignment="1">
      <alignment horizontal="center"/>
    </xf>
    <xf numFmtId="165" fontId="7" fillId="0" borderId="29" xfId="0" applyNumberFormat="1" applyFont="1" applyBorder="1" applyAlignment="1">
      <alignment horizontal="center"/>
    </xf>
    <xf numFmtId="0" fontId="7" fillId="0" borderId="34" xfId="0" applyFont="1" applyBorder="1" applyAlignment="1">
      <alignment horizontal="center"/>
    </xf>
    <xf numFmtId="165" fontId="7" fillId="0" borderId="20" xfId="0" applyNumberFormat="1" applyFont="1" applyBorder="1" applyAlignment="1">
      <alignment horizontal="center"/>
    </xf>
    <xf numFmtId="0" fontId="7" fillId="0" borderId="21" xfId="0" applyFont="1" applyBorder="1" applyAlignment="1">
      <alignment horizontal="center"/>
    </xf>
    <xf numFmtId="0" fontId="7" fillId="0" borderId="18" xfId="0" applyFont="1" applyBorder="1" applyAlignment="1">
      <alignment horizontal="center"/>
    </xf>
    <xf numFmtId="165" fontId="7" fillId="0" borderId="21" xfId="0" applyNumberFormat="1" applyFont="1" applyBorder="1" applyAlignment="1">
      <alignment horizontal="center"/>
    </xf>
    <xf numFmtId="0" fontId="7" fillId="0" borderId="39" xfId="0" applyFont="1" applyBorder="1" applyAlignment="1">
      <alignment horizontal="center"/>
    </xf>
    <xf numFmtId="165" fontId="7" fillId="0" borderId="31" xfId="0" applyNumberFormat="1" applyFont="1" applyBorder="1" applyAlignment="1">
      <alignment horizontal="center"/>
    </xf>
    <xf numFmtId="0" fontId="7" fillId="0" borderId="31" xfId="0" applyFont="1" applyBorder="1" applyAlignment="1">
      <alignment horizontal="center"/>
    </xf>
    <xf numFmtId="0" fontId="7" fillId="0" borderId="44" xfId="0" applyFont="1" applyBorder="1" applyAlignment="1">
      <alignment horizontal="center"/>
    </xf>
    <xf numFmtId="165" fontId="7" fillId="0" borderId="26" xfId="0" applyNumberFormat="1" applyFont="1" applyBorder="1" applyAlignment="1">
      <alignment horizontal="center"/>
    </xf>
    <xf numFmtId="0" fontId="7" fillId="0" borderId="26" xfId="0" applyFont="1" applyBorder="1" applyAlignment="1">
      <alignment horizontal="center"/>
    </xf>
    <xf numFmtId="168" fontId="0" fillId="0" borderId="21" xfId="0" applyNumberFormat="1" applyBorder="1" applyAlignment="1">
      <alignment horizontal="left"/>
    </xf>
    <xf numFmtId="0" fontId="2" fillId="0" borderId="0" xfId="0" applyFont="1" applyAlignment="1"/>
    <xf numFmtId="0" fontId="0" fillId="0" borderId="17" xfId="0" applyBorder="1" applyAlignment="1"/>
    <xf numFmtId="0" fontId="0" fillId="0" borderId="5" xfId="0" applyBorder="1" applyAlignment="1"/>
    <xf numFmtId="0" fontId="0" fillId="0" borderId="41" xfId="0" applyBorder="1" applyAlignment="1"/>
    <xf numFmtId="0" fontId="0" fillId="0" borderId="26" xfId="0" applyBorder="1" applyAlignment="1"/>
    <xf numFmtId="0" fontId="7" fillId="0" borderId="22" xfId="0" applyFont="1" applyBorder="1" applyAlignment="1"/>
    <xf numFmtId="0" fontId="0" fillId="0" borderId="29" xfId="0" applyBorder="1" applyAlignment="1"/>
    <xf numFmtId="0" fontId="0" fillId="0" borderId="16" xfId="0" applyBorder="1" applyAlignment="1"/>
    <xf numFmtId="165" fontId="7" fillId="0" borderId="22" xfId="0" applyNumberFormat="1" applyFont="1" applyBorder="1" applyAlignment="1"/>
    <xf numFmtId="165" fontId="0" fillId="0" borderId="29" xfId="0" applyNumberFormat="1" applyBorder="1" applyAlignment="1"/>
    <xf numFmtId="165" fontId="0" fillId="0" borderId="16" xfId="0" applyNumberFormat="1" applyBorder="1" applyAlignment="1"/>
    <xf numFmtId="0" fontId="7" fillId="0" borderId="20" xfId="0" applyFont="1" applyBorder="1" applyAlignment="1"/>
    <xf numFmtId="0" fontId="0" fillId="0" borderId="21" xfId="0" applyBorder="1" applyAlignment="1"/>
    <xf numFmtId="0" fontId="0" fillId="0" borderId="18" xfId="0" applyBorder="1" applyAlignment="1"/>
    <xf numFmtId="165" fontId="7" fillId="0" borderId="20" xfId="0" applyNumberFormat="1" applyFont="1" applyBorder="1" applyAlignment="1"/>
    <xf numFmtId="165" fontId="0" fillId="0" borderId="21" xfId="0" applyNumberFormat="1" applyBorder="1" applyAlignment="1"/>
    <xf numFmtId="165" fontId="0" fillId="0" borderId="18" xfId="0" applyNumberFormat="1" applyBorder="1" applyAlignment="1"/>
    <xf numFmtId="0" fontId="7" fillId="3" borderId="20" xfId="0" applyFont="1" applyFill="1" applyBorder="1" applyAlignment="1"/>
    <xf numFmtId="0" fontId="0" fillId="3" borderId="21" xfId="0" applyFill="1" applyBorder="1" applyAlignment="1"/>
    <xf numFmtId="0" fontId="0" fillId="3" borderId="18" xfId="0" applyFill="1" applyBorder="1" applyAlignment="1"/>
    <xf numFmtId="0" fontId="7" fillId="0" borderId="17" xfId="0" applyFont="1" applyBorder="1" applyAlignment="1"/>
    <xf numFmtId="0" fontId="7" fillId="0" borderId="5" xfId="0" applyFont="1" applyBorder="1" applyAlignment="1"/>
    <xf numFmtId="0" fontId="7" fillId="0" borderId="26" xfId="0" applyFont="1" applyBorder="1" applyAlignment="1"/>
    <xf numFmtId="0" fontId="0" fillId="0" borderId="33" xfId="0" applyBorder="1" applyAlignment="1"/>
  </cellXfs>
  <cellStyles count="2">
    <cellStyle name="Normal" xfId="0" builtinId="0"/>
    <cellStyle name="Normal 2" xfId="1" xr:uid="{D4D2DF5C-4AF5-413C-8292-812EF2A11A3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7D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207646</xdr:colOff>
      <xdr:row>24</xdr:row>
      <xdr:rowOff>19049</xdr:rowOff>
    </xdr:from>
    <xdr:to>
      <xdr:col>14</xdr:col>
      <xdr:colOff>123825</xdr:colOff>
      <xdr:row>52</xdr:row>
      <xdr:rowOff>38100</xdr:rowOff>
    </xdr:to>
    <xdr:sp macro="" textlink="">
      <xdr:nvSpPr>
        <xdr:cNvPr id="1026" name="Text Box 3">
          <a:extLst>
            <a:ext uri="{FF2B5EF4-FFF2-40B4-BE49-F238E27FC236}">
              <a16:creationId xmlns:a16="http://schemas.microsoft.com/office/drawing/2014/main" id="{00000000-0008-0000-0100-000002040000}"/>
            </a:ext>
          </a:extLst>
        </xdr:cNvPr>
        <xdr:cNvSpPr txBox="1">
          <a:spLocks noChangeArrowheads="1"/>
        </xdr:cNvSpPr>
      </xdr:nvSpPr>
      <xdr:spPr bwMode="auto">
        <a:xfrm>
          <a:off x="207646" y="4686299"/>
          <a:ext cx="5888354" cy="45529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a:lstStyle/>
        <a:p>
          <a:pPr algn="l" rtl="0">
            <a:defRPr sz="1000"/>
          </a:pPr>
          <a:r>
            <a:rPr lang="en-GB" sz="1400" b="1" i="0" u="none" strike="noStrike" baseline="0">
              <a:solidFill>
                <a:srgbClr val="000000"/>
              </a:solidFill>
              <a:latin typeface="Arial"/>
              <a:cs typeface="Arial"/>
            </a:rPr>
            <a:t>Instructions</a:t>
          </a:r>
        </a:p>
        <a:p>
          <a:pPr algn="l" rtl="0">
            <a:defRPr sz="1000"/>
          </a:pPr>
          <a:r>
            <a:rPr lang="en-GB" sz="1000" b="0" i="0" u="none" strike="noStrike" baseline="0">
              <a:solidFill>
                <a:srgbClr val="000000"/>
              </a:solidFill>
              <a:latin typeface="Arial"/>
              <a:cs typeface="Arial"/>
            </a:rPr>
            <a:t>There are 2 options for completing the result return. Please chose whichever is most useful for you</a:t>
          </a:r>
          <a:r>
            <a:rPr lang="en-GB" sz="1000" b="0" i="0" u="none" strike="noStrike" baseline="0">
              <a:solidFill>
                <a:srgbClr val="FF0000"/>
              </a:solidFill>
              <a:latin typeface="Arial"/>
              <a:cs typeface="Arial"/>
            </a:rPr>
            <a:t>. If you are using option 2, then option 1 is not required.</a:t>
          </a:r>
        </a:p>
        <a:p>
          <a:pPr algn="l" rtl="0">
            <a:defRPr sz="1000"/>
          </a:pPr>
          <a:endParaRPr lang="en-GB" sz="1000" b="0" i="0" u="none" strike="noStrike" baseline="0">
            <a:solidFill>
              <a:srgbClr val="000000"/>
            </a:solidFill>
            <a:latin typeface="Arial"/>
            <a:cs typeface="Arial"/>
          </a:endParaRPr>
        </a:p>
        <a:p>
          <a:pPr algn="l" rtl="0">
            <a:defRPr sz="1000"/>
          </a:pPr>
          <a:r>
            <a:rPr lang="en-GB" sz="1200" b="1" i="0" u="none" strike="noStrike" baseline="0">
              <a:solidFill>
                <a:srgbClr val="0080C0"/>
              </a:solidFill>
              <a:latin typeface="Arial"/>
              <a:cs typeface="Arial"/>
            </a:rPr>
            <a:t>Option 1 Overview</a:t>
          </a:r>
        </a:p>
        <a:p>
          <a:pPr algn="l" rtl="0">
            <a:defRPr sz="1000"/>
          </a:pPr>
          <a:r>
            <a:rPr lang="en-GB" sz="1000" b="0" i="0" u="none" strike="noStrike" baseline="0">
              <a:solidFill>
                <a:srgbClr val="000000"/>
              </a:solidFill>
              <a:latin typeface="Arial"/>
              <a:cs typeface="Arial"/>
            </a:rPr>
            <a:t>Creates a sign-on sheet, start sheet and result sheet. </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0080C0"/>
              </a:solidFill>
              <a:latin typeface="Arial"/>
              <a:cs typeface="Arial"/>
            </a:rPr>
            <a:t>Option 1 Instructions</a:t>
          </a:r>
        </a:p>
        <a:p>
          <a:pPr algn="l" rtl="0">
            <a:defRPr sz="1000"/>
          </a:pPr>
          <a:r>
            <a:rPr lang="en-GB" sz="1000" b="0" i="0" u="none" strike="noStrike" baseline="0">
              <a:solidFill>
                <a:srgbClr val="000000"/>
              </a:solidFill>
              <a:latin typeface="Arial"/>
              <a:cs typeface="Arial"/>
            </a:rPr>
            <a:t>On the FacingSheet worksheet (this sheet) scroll up to enter the event details. Date, start time and standard distance are essential items without which the spreadsheet will not work. If rider number 1 is due to start at 10.01 then the start time in the event details must be 10 00</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Click on Input worksheet tab to enter rider information. Rider details can be entered as received. Provide name, team, category and member number. PB is not essential for option 1, but you might find it helpful when you come to set the order of your field. Columns T, U, V etc are available for any use you might put them to.</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Once all riders have been entered, you should decide and enter their race number in column A. If you have 80 riders, find the fastest and enter 80 against that rider. Enter 70 against the next fastest and so on following the pattern outlined in option 2 below. As you do this you can see your sign-on, start list and result sheet taking shape when you look at the appropriate worksheets, Sign-On, Start List and SC Result.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After the race you should enter the race times in columns headed by hours, minutes, seconds (h m s). In the column headed Info select a cell and click the down arrow to confirm that a rider has had his/her gear checked or the rider is a non-starter or a non-finisher.</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Finally email the spreadsheet to </a:t>
          </a:r>
          <a:r>
            <a:rPr lang="en-GB" sz="1000" b="1" i="0" u="none" strike="noStrike" baseline="0">
              <a:solidFill>
                <a:srgbClr val="0080C0"/>
              </a:solidFill>
              <a:latin typeface="Arial"/>
              <a:cs typeface="Arial"/>
            </a:rPr>
            <a:t>events@scottishcycling.org.uk </a:t>
          </a:r>
          <a:r>
            <a:rPr lang="en-GB" sz="1000" b="0" i="0" u="none" strike="noStrike" baseline="0">
              <a:solidFill>
                <a:srgbClr val="000000"/>
              </a:solidFill>
              <a:latin typeface="Arial"/>
              <a:cs typeface="Arial"/>
            </a:rPr>
            <a:t>and to </a:t>
          </a:r>
          <a:r>
            <a:rPr lang="en-GB" sz="1000" b="1" i="0" u="none" strike="noStrike" baseline="0">
              <a:solidFill>
                <a:srgbClr val="3333CC"/>
              </a:solidFill>
              <a:latin typeface="Arial"/>
              <a:cs typeface="Arial"/>
            </a:rPr>
            <a:t>john.m.macmillan@btinternet.com</a:t>
          </a:r>
          <a:r>
            <a:rPr lang="en-GB" sz="1000" b="1" i="0" u="none" strike="noStrike" baseline="0">
              <a:solidFill>
                <a:srgbClr val="0080C0"/>
              </a:solidFill>
              <a:latin typeface="Arial"/>
              <a:cs typeface="Arial"/>
            </a:rPr>
            <a:t> </a:t>
          </a:r>
          <a:r>
            <a:rPr lang="en-GB" sz="1000" b="0" i="0" u="none" strike="noStrike" baseline="0">
              <a:solidFill>
                <a:srgbClr val="000000"/>
              </a:solidFill>
              <a:latin typeface="Arial"/>
              <a:cs typeface="Arial"/>
            </a:rPr>
            <a:t>at your earliest convenience, but certainly within 14 days.</a:t>
          </a:r>
        </a:p>
        <a:p>
          <a:pPr algn="l" rtl="0">
            <a:defRPr sz="1000"/>
          </a:pPr>
          <a:endParaRPr lang="en-GB" sz="1000" b="0" i="0" u="none" strike="noStrike" baseline="0">
            <a:solidFill>
              <a:srgbClr val="000000"/>
            </a:solidFill>
            <a:latin typeface="Arial"/>
            <a:cs typeface="Arial"/>
          </a:endParaRPr>
        </a:p>
        <a:p>
          <a:pPr algn="l" rtl="0">
            <a:defRPr sz="1000"/>
          </a:pPr>
          <a:endParaRPr lang="en-GB" sz="1000" b="0" i="0" u="none" strike="noStrike" baseline="0">
            <a:solidFill>
              <a:srgbClr val="000000"/>
            </a:solidFill>
            <a:latin typeface="Arial"/>
            <a:cs typeface="Arial"/>
          </a:endParaRPr>
        </a:p>
      </xdr:txBody>
    </xdr:sp>
    <xdr:clientData/>
  </xdr:twoCellAnchor>
  <xdr:twoCellAnchor>
    <xdr:from>
      <xdr:col>0</xdr:col>
      <xdr:colOff>142875</xdr:colOff>
      <xdr:row>52</xdr:row>
      <xdr:rowOff>104775</xdr:rowOff>
    </xdr:from>
    <xdr:to>
      <xdr:col>14</xdr:col>
      <xdr:colOff>95250</xdr:colOff>
      <xdr:row>111</xdr:row>
      <xdr:rowOff>142875</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42875" y="9305925"/>
          <a:ext cx="5924550" cy="9591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200" b="1" i="0" u="none" strike="noStrike" baseline="0">
              <a:solidFill>
                <a:srgbClr val="996633"/>
              </a:solidFill>
              <a:latin typeface="Arial"/>
              <a:cs typeface="Arial"/>
            </a:rPr>
            <a:t>Option 2 Overview</a:t>
          </a:r>
          <a:endParaRPr lang="en-GB" sz="1200" b="1"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Creates a sign-on sheet, start sheet (auto calculation of handicap allowances and vet on standard), and a result sheet ranked by fastest and displaying handicap and Vet standard results.</a:t>
          </a:r>
        </a:p>
        <a:p>
          <a:pPr algn="l" rtl="0">
            <a:defRPr sz="1000"/>
          </a:pPr>
          <a:endParaRPr lang="en-GB" sz="1000" b="0" i="0" u="none" strike="noStrike" baseline="0">
            <a:solidFill>
              <a:srgbClr val="000000"/>
            </a:solidFill>
            <a:latin typeface="Arial"/>
            <a:cs typeface="Arial"/>
          </a:endParaRPr>
        </a:p>
        <a:p>
          <a:pPr algn="l" rtl="0">
            <a:defRPr sz="1000"/>
          </a:pPr>
          <a:r>
            <a:rPr lang="en-GB" sz="1000" b="1" i="0" u="none" strike="noStrike" baseline="0">
              <a:solidFill>
                <a:srgbClr val="996633"/>
              </a:solidFill>
              <a:latin typeface="Arial"/>
              <a:cs typeface="Arial"/>
            </a:rPr>
            <a:t>Option 2 Instructions</a:t>
          </a: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On the FacingSheet worksheet scroll up to enter the event details. Date, start time and standard distance are essential items without which the spreadsheet will not work. If rider number 1 is due to start at 10.01 then the start time in the event details must be 10 00</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Click on Input worksheet tab to enter rider information. Rider details can be entered as received. Provide name, team, category, member number, PB, DOB for vets only. PB times must be entered using the format h:mm:ss and date of birth using  dd/mm/yyyy. Any departure from this is likely to prevent Excel recognising a time and a date. As you enter the PBs and the dates the handicap allowance and vet standards are auto calculated. </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When all riders data has been entered you should decide and enter their race number in column A. Your fastest riders should always be on the numbers divisible by 10. Check out the following for best practice.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have 80 riders, enter 80 against the fastest, 70 against the next fastest etc down to 10. The next sequences are </a:t>
          </a:r>
        </a:p>
        <a:p>
          <a:pPr algn="l" rtl="0">
            <a:defRPr sz="1000"/>
          </a:pPr>
          <a:r>
            <a:rPr lang="en-GB" sz="1000" b="0" i="0" u="none" strike="noStrike" baseline="0">
              <a:solidFill>
                <a:srgbClr val="000000"/>
              </a:solidFill>
              <a:latin typeface="Arial"/>
              <a:cs typeface="Arial"/>
            </a:rPr>
            <a:t>75, 65, 55, down to 5</a:t>
          </a:r>
        </a:p>
        <a:p>
          <a:pPr algn="l" rtl="0">
            <a:defRPr sz="1000"/>
          </a:pPr>
          <a:r>
            <a:rPr lang="en-GB" sz="1000" b="0" i="0" u="none" strike="noStrike" baseline="0">
              <a:solidFill>
                <a:srgbClr val="000000"/>
              </a:solidFill>
              <a:latin typeface="Arial"/>
              <a:cs typeface="Arial"/>
            </a:rPr>
            <a:t>77, 72, 67, 62 down to 7 and 2. </a:t>
          </a:r>
        </a:p>
        <a:p>
          <a:pPr algn="l" rtl="0">
            <a:defRPr sz="1000"/>
          </a:pPr>
          <a:r>
            <a:rPr lang="en-GB" sz="1000" b="0" i="0" u="none" strike="noStrike" baseline="0">
              <a:solidFill>
                <a:srgbClr val="000000"/>
              </a:solidFill>
              <a:latin typeface="Arial"/>
              <a:cs typeface="Arial"/>
            </a:rPr>
            <a:t>79, 74, 69, 64 down to 9 and 4 </a:t>
          </a:r>
        </a:p>
        <a:p>
          <a:pPr algn="l" rtl="0">
            <a:defRPr sz="1000"/>
          </a:pPr>
          <a:r>
            <a:rPr lang="en-GB" sz="1000" b="0" i="0" u="none" strike="noStrike" baseline="0">
              <a:solidFill>
                <a:srgbClr val="000000"/>
              </a:solidFill>
              <a:latin typeface="Arial"/>
              <a:cs typeface="Arial"/>
            </a:rPr>
            <a:t>76, 71, 66, 61 down to 6 and 1</a:t>
          </a:r>
        </a:p>
        <a:p>
          <a:pPr algn="l" rtl="0">
            <a:defRPr sz="1000"/>
          </a:pPr>
          <a:r>
            <a:rPr lang="en-GB" sz="1000" b="0" i="0" u="none" strike="noStrike" baseline="0">
              <a:solidFill>
                <a:srgbClr val="000000"/>
              </a:solidFill>
              <a:latin typeface="Arial"/>
              <a:cs typeface="Arial"/>
            </a:rPr>
            <a:t>78, 73, 68, 63 down to 8 and 3</a:t>
          </a:r>
        </a:p>
        <a:p>
          <a:pPr algn="l" rtl="0">
            <a:defRPr sz="1000"/>
          </a:pPr>
          <a:r>
            <a:rPr lang="en-GB" sz="1000" b="0" i="0" u="none" strike="noStrike" baseline="0">
              <a:solidFill>
                <a:srgbClr val="000000"/>
              </a:solidFill>
              <a:latin typeface="Arial"/>
              <a:cs typeface="Arial"/>
            </a:rPr>
            <a:t>This seeding will give the best chance for riders being able to ride their own race without finding themselves in the company of other riders for extended periods.</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As you do this you can see your sign-on, start list and result sheets taking shape when you look at the appropriate worksheets, Sign-On, Start List, Fastest and Fastest Vet. You can now issue your start list and print your signing on sheet.</a:t>
          </a:r>
        </a:p>
      </xdr:txBody>
    </xdr:sp>
    <xdr:clientData/>
  </xdr:twoCellAnchor>
  <xdr:twoCellAnchor>
    <xdr:from>
      <xdr:col>0</xdr:col>
      <xdr:colOff>131445</xdr:colOff>
      <xdr:row>81</xdr:row>
      <xdr:rowOff>57149</xdr:rowOff>
    </xdr:from>
    <xdr:to>
      <xdr:col>14</xdr:col>
      <xdr:colOff>95257</xdr:colOff>
      <xdr:row>112</xdr:row>
      <xdr:rowOff>85726</xdr:rowOff>
    </xdr:to>
    <xdr:sp macro="" textlink="">
      <xdr:nvSpPr>
        <xdr:cNvPr id="1029" name="Text Box 5">
          <a:extLst>
            <a:ext uri="{FF2B5EF4-FFF2-40B4-BE49-F238E27FC236}">
              <a16:creationId xmlns:a16="http://schemas.microsoft.com/office/drawing/2014/main" id="{00000000-0008-0000-0100-000005040000}"/>
            </a:ext>
          </a:extLst>
        </xdr:cNvPr>
        <xdr:cNvSpPr txBox="1">
          <a:spLocks noChangeArrowheads="1"/>
        </xdr:cNvSpPr>
      </xdr:nvSpPr>
      <xdr:spPr bwMode="auto">
        <a:xfrm>
          <a:off x="131445" y="13954124"/>
          <a:ext cx="5935987" cy="5048252"/>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none" strike="noStrike" baseline="0">
              <a:solidFill>
                <a:srgbClr val="000000"/>
              </a:solidFill>
              <a:latin typeface="Arial"/>
              <a:cs typeface="Arial"/>
            </a:rPr>
            <a:t>If you want to use the spreadsheet to double check the timekeeper's calculations you must find out if the timekeeper is using time of day or stopwatch function. For a 10am start, if using ToD, the start time of 10 00 entered in the event details on this sheet is perfect. If the timekeeper is using stopwatch function i.e. at 10am he/she starts the watches from zero then the start time on the FacingSheet should be changed to 00 00. This should only be done after you have issued your start list, showing the riders' start times in ToD format.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To achieve your finish sheet in fastest order, the time, as read from the timekeepers watch, should be entered in the Start List column headed Finish Time. As you do this the Race Time, Handicap Nett Time and the Vet on Standard automatically calculate and follow through to the Fastest worksheet showing the fastest order at any stage during the event. Similary the Vet on Standard displays in the Fastest Vet worksheet. When all riders have finished, any DNF or DNS competitors will be listed at the bottom. Use the Info column to endorse with DNF or DNS as appropriate. Also use this column to indicate the youth and junior riders who had their gear checked.</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The essential items for a result submission to SC is the member number and the time in a format that can be understood by a computer. </a:t>
          </a:r>
          <a:r>
            <a:rPr lang="en-GB" sz="1000" b="1" i="0" u="none" strike="noStrike" baseline="0">
              <a:solidFill>
                <a:srgbClr val="000000"/>
              </a:solidFill>
              <a:latin typeface="Arial"/>
              <a:cs typeface="Arial"/>
            </a:rPr>
            <a:t>Although no member number is apparent on the Fastest sheet, it is there in a hidden column, making this a recommended format for BAR calculation.</a:t>
          </a:r>
          <a:endParaRPr lang="en-GB" sz="1000" b="0" i="0" u="none" strike="noStrike" baseline="0">
            <a:solidFill>
              <a:srgbClr val="000000"/>
            </a:solidFill>
            <a:latin typeface="Arial"/>
            <a:cs typeface="Arial"/>
          </a:endParaRPr>
        </a:p>
        <a:p>
          <a:pPr algn="l" rtl="0">
            <a:defRPr sz="1000"/>
          </a:pPr>
          <a:endParaRPr lang="en-GB" sz="1000" b="1" i="0" u="none" strike="noStrike" baseline="0">
            <a:solidFill>
              <a:srgbClr val="000000"/>
            </a:solidFill>
            <a:latin typeface="Arial"/>
            <a:cs typeface="Arial"/>
          </a:endParaRPr>
        </a:p>
        <a:p>
          <a:pPr algn="l" rtl="0">
            <a:defRPr sz="1000"/>
          </a:pPr>
          <a:r>
            <a:rPr lang="en-GB" sz="1000" b="1" i="0" u="none" strike="noStrike" baseline="0">
              <a:solidFill>
                <a:srgbClr val="000000"/>
              </a:solidFill>
              <a:latin typeface="Arial"/>
              <a:cs typeface="Arial"/>
            </a:rPr>
            <a:t>Health warning</a:t>
          </a:r>
        </a:p>
        <a:p>
          <a:pPr algn="l" rtl="0">
            <a:defRPr sz="1000"/>
          </a:pPr>
          <a:r>
            <a:rPr lang="en-GB" sz="1000" b="0" i="0" u="none" strike="noStrike" baseline="0">
              <a:solidFill>
                <a:srgbClr val="000000"/>
              </a:solidFill>
              <a:latin typeface="Arial"/>
              <a:cs typeface="Arial"/>
            </a:rPr>
            <a:t>In both Fastest and Fastest Vet equality of times does not produce equality of position. For example two riders equal in 8th place will display as 8th and 9th. You can manually change the 9th to 8th place in the Pos. column on either worksheet before you print out your result.</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If you wish to delete the "Please email result" message before printing or emailing select cell E8 on Fastest and delete.</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000000"/>
              </a:solidFill>
              <a:latin typeface="Arial"/>
              <a:cs typeface="Arial"/>
            </a:rPr>
            <a:t>Finally email the spreadsheet to </a:t>
          </a:r>
          <a:r>
            <a:rPr lang="en-GB" sz="1000" b="1" i="0" u="none" strike="noStrike" baseline="0">
              <a:solidFill>
                <a:srgbClr val="3333CC"/>
              </a:solidFill>
              <a:latin typeface="Arial"/>
              <a:cs typeface="Arial"/>
            </a:rPr>
            <a:t>events@scottishcycling.org.uk </a:t>
          </a:r>
          <a:r>
            <a:rPr lang="en-GB" sz="1000" b="0" i="0" u="none" strike="noStrike" baseline="0">
              <a:solidFill>
                <a:srgbClr val="000000"/>
              </a:solidFill>
              <a:latin typeface="Arial"/>
              <a:cs typeface="Arial"/>
            </a:rPr>
            <a:t>and to </a:t>
          </a:r>
          <a:r>
            <a:rPr lang="en-GB" sz="1000" b="1" i="0" u="none" strike="noStrike" baseline="0">
              <a:solidFill>
                <a:srgbClr val="3333CC"/>
              </a:solidFill>
              <a:latin typeface="Arial"/>
              <a:cs typeface="Arial"/>
            </a:rPr>
            <a:t>john.m.macmillan@btinternet.com</a:t>
          </a:r>
          <a:r>
            <a:rPr lang="en-GB" sz="1000" b="0" i="0" u="none" strike="noStrike" baseline="0">
              <a:solidFill>
                <a:srgbClr val="000000"/>
              </a:solidFill>
              <a:latin typeface="Arial"/>
              <a:cs typeface="Arial"/>
            </a:rPr>
            <a:t> at your earliest convenience and certainly within 14 days.</a:t>
          </a:r>
        </a:p>
        <a:p>
          <a:pPr algn="l" rtl="0">
            <a:defRPr sz="1000"/>
          </a:pPr>
          <a:endParaRPr lang="en-GB" sz="1000" b="0" i="0" u="none" strike="noStrike" baseline="0">
            <a:solidFill>
              <a:srgbClr val="000000"/>
            </a:solidFill>
            <a:latin typeface="Arial"/>
            <a:cs typeface="Arial"/>
          </a:endParaRPr>
        </a:p>
        <a:p>
          <a:pPr algn="l" rtl="0">
            <a:defRPr sz="1000"/>
          </a:pPr>
          <a:r>
            <a:rPr lang="en-GB" sz="1000" b="0" i="0" u="none" strike="noStrike" baseline="0">
              <a:solidFill>
                <a:srgbClr val="FF0000"/>
              </a:solidFill>
              <a:latin typeface="Arial"/>
              <a:cs typeface="Arial"/>
            </a:rPr>
            <a:t>Do not unprotect worksheets or delete entire lines. This will affect the integrity of the calculations.  Do not enter text in colums expecting numbers or times as this is the most common cause of spreadsheet malfunction.</a:t>
          </a:r>
        </a:p>
      </xdr:txBody>
    </xdr:sp>
    <xdr:clientData/>
  </xdr:twoCellAnchor>
  <xdr:twoCellAnchor editAs="oneCell">
    <xdr:from>
      <xdr:col>6</xdr:col>
      <xdr:colOff>57150</xdr:colOff>
      <xdr:row>0</xdr:row>
      <xdr:rowOff>57150</xdr:rowOff>
    </xdr:from>
    <xdr:to>
      <xdr:col>10</xdr:col>
      <xdr:colOff>229716</xdr:colOff>
      <xdr:row>3</xdr:row>
      <xdr:rowOff>110975</xdr:rowOff>
    </xdr:to>
    <xdr:pic>
      <xdr:nvPicPr>
        <xdr:cNvPr id="6" name="Picture 5">
          <a:extLst>
            <a:ext uri="{FF2B5EF4-FFF2-40B4-BE49-F238E27FC236}">
              <a16:creationId xmlns:a16="http://schemas.microsoft.com/office/drawing/2014/main" id="{CC445B7B-3504-2AD9-7441-4AE41346C5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365500" y="57150"/>
          <a:ext cx="1493366" cy="72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2</xdr:row>
      <xdr:rowOff>57150</xdr:rowOff>
    </xdr:from>
    <xdr:to>
      <xdr:col>15</xdr:col>
      <xdr:colOff>491487</xdr:colOff>
      <xdr:row>7</xdr:row>
      <xdr:rowOff>114300</xdr:rowOff>
    </xdr:to>
    <xdr:sp macro="" textlink="">
      <xdr:nvSpPr>
        <xdr:cNvPr id="13313" name="Text 2">
          <a:extLst>
            <a:ext uri="{FF2B5EF4-FFF2-40B4-BE49-F238E27FC236}">
              <a16:creationId xmlns:a16="http://schemas.microsoft.com/office/drawing/2014/main" id="{00000000-0008-0000-0200-000001340000}"/>
            </a:ext>
          </a:extLst>
        </xdr:cNvPr>
        <xdr:cNvSpPr txBox="1">
          <a:spLocks noChangeArrowheads="1"/>
        </xdr:cNvSpPr>
      </xdr:nvSpPr>
      <xdr:spPr bwMode="auto">
        <a:xfrm>
          <a:off x="66675" y="552450"/>
          <a:ext cx="9496425" cy="1057275"/>
        </a:xfrm>
        <a:prstGeom prst="rect">
          <a:avLst/>
        </a:prstGeom>
        <a:solidFill>
          <a:srgbClr val="FFFFFF"/>
        </a:solidFill>
        <a:ln>
          <a:noFill/>
        </a:ln>
      </xdr:spPr>
      <xdr:txBody>
        <a:bodyPr vertOverflow="clip" wrap="square" lIns="27432" tIns="18288" rIns="0" bIns="0" anchor="t" upright="1"/>
        <a:lstStyle/>
        <a:p>
          <a:pPr algn="l" rtl="0">
            <a:defRPr sz="1000"/>
          </a:pPr>
          <a:r>
            <a:rPr lang="en-GB" sz="700" b="0" i="1" u="none" strike="noStrike" baseline="0">
              <a:solidFill>
                <a:srgbClr val="000000"/>
              </a:solidFill>
              <a:latin typeface="Arial"/>
              <a:cs typeface="Arial"/>
            </a:rPr>
            <a:t>"I agree to abide by the Bye Laws and Technical Regulations of Scottish Cycling, and understand and agree that I participate in this race entirely at my own risk, that I must rely on my own ability in dealing with all hazards, and that I must ride in a manner which is safe to myself and others.  I am aware that when riding on a public highway the function of marshals is only to indicate direction and that I must decide whether the movement is safe.  I agree that no liability whatsoever shall attach to the promoter, promoting club, race sponsor,  Scottish Cycling or any race official or member of  Scottish  Cyclling/British Cycling or member of the promoting club in respect of any injury, loss or damage suffered by me in or by reason of the race, however caused. I will participate in cycling competitions or events in a loyal or sporting manner. I will submit to disciplinary measures taken against me and will take any appeals and litigation to the authorities provided for in the Regulations. Subject to that reservation, I shall submit to any dispute that may arise exclusively to the courts. Should I be required to participate in any anti doping control test under  Scottish Cycling/British Cycling regulations, I shall agree to submit to those tests. I agree that the results of the analysis to be released to the public and communicated in detail to my Club/Team or to my coach or Doctor. I undertake to submit any objections concerning drug abuse to the British Cycling Executive Board/ Appeals Panel, whose decision I shall accept as final. I accept that all urine samples taken become the property of British Cycling and that they may have them analysed, notably for the purposes of research and information on health protection. I agree to my doctor/or the doctor of my club/Team communicating to British Cycling, on it’s request, the list of medicines I have taken and treatment I have undergone before any given competition or cycling event. I have read and agree to abide by the above declarations”.</a:t>
          </a:r>
        </a:p>
      </xdr:txBody>
    </xdr:sp>
    <xdr:clientData/>
  </xdr:twoCellAnchor>
  <xdr:twoCellAnchor editAs="oneCell">
    <xdr:from>
      <xdr:col>11</xdr:col>
      <xdr:colOff>129540</xdr:colOff>
      <xdr:row>19</xdr:row>
      <xdr:rowOff>68580</xdr:rowOff>
    </xdr:from>
    <xdr:to>
      <xdr:col>11</xdr:col>
      <xdr:colOff>205740</xdr:colOff>
      <xdr:row>20</xdr:row>
      <xdr:rowOff>76200</xdr:rowOff>
    </xdr:to>
    <xdr:sp macro="" textlink="">
      <xdr:nvSpPr>
        <xdr:cNvPr id="11530" name="Text Box 2">
          <a:extLst>
            <a:ext uri="{FF2B5EF4-FFF2-40B4-BE49-F238E27FC236}">
              <a16:creationId xmlns:a16="http://schemas.microsoft.com/office/drawing/2014/main" id="{00000000-0008-0000-0200-00000A2D0000}"/>
            </a:ext>
          </a:extLst>
        </xdr:cNvPr>
        <xdr:cNvSpPr txBox="1">
          <a:spLocks noChangeArrowheads="1"/>
        </xdr:cNvSpPr>
      </xdr:nvSpPr>
      <xdr:spPr bwMode="auto">
        <a:xfrm>
          <a:off x="7086600" y="3749040"/>
          <a:ext cx="76200" cy="198120"/>
        </a:xfrm>
        <a:prstGeom prst="rect">
          <a:avLst/>
        </a:prstGeom>
        <a:noFill/>
        <a:ln w="9525">
          <a:noFill/>
          <a:miter lim="800000"/>
          <a:headEnd/>
          <a:tailEnd/>
        </a:ln>
      </xdr:spPr>
    </xdr:sp>
    <xdr:clientData/>
  </xdr:twoCellAnchor>
  <xdr:twoCellAnchor editAs="oneCell">
    <xdr:from>
      <xdr:col>13</xdr:col>
      <xdr:colOff>10794</xdr:colOff>
      <xdr:row>0</xdr:row>
      <xdr:rowOff>0</xdr:rowOff>
    </xdr:from>
    <xdr:to>
      <xdr:col>14</xdr:col>
      <xdr:colOff>345440</xdr:colOff>
      <xdr:row>2</xdr:row>
      <xdr:rowOff>26435</xdr:rowOff>
    </xdr:to>
    <xdr:pic>
      <xdr:nvPicPr>
        <xdr:cNvPr id="11531" name="Picture 3">
          <a:extLst>
            <a:ext uri="{FF2B5EF4-FFF2-40B4-BE49-F238E27FC236}">
              <a16:creationId xmlns:a16="http://schemas.microsoft.com/office/drawing/2014/main" id="{00000000-0008-0000-0200-00000B2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411844" y="0"/>
          <a:ext cx="975996" cy="470935"/>
        </a:xfrm>
        <a:prstGeom prst="rect">
          <a:avLst/>
        </a:prstGeom>
        <a:noFill/>
        <a:ln w="9525">
          <a:noFill/>
          <a:miter lim="800000"/>
          <a:headEnd/>
          <a:tailEnd/>
        </a:ln>
      </xdr:spPr>
    </xdr:pic>
    <xdr:clientData/>
  </xdr:twoCellAnchor>
  <xdr:twoCellAnchor>
    <xdr:from>
      <xdr:col>14</xdr:col>
      <xdr:colOff>289560</xdr:colOff>
      <xdr:row>0</xdr:row>
      <xdr:rowOff>130810</xdr:rowOff>
    </xdr:from>
    <xdr:to>
      <xdr:col>16</xdr:col>
      <xdr:colOff>38100</xdr:colOff>
      <xdr:row>1</xdr:row>
      <xdr:rowOff>107950</xdr:rowOff>
    </xdr:to>
    <xdr:pic>
      <xdr:nvPicPr>
        <xdr:cNvPr id="11532" name="Picture 4">
          <a:extLst>
            <a:ext uri="{FF2B5EF4-FFF2-40B4-BE49-F238E27FC236}">
              <a16:creationId xmlns:a16="http://schemas.microsoft.com/office/drawing/2014/main" id="{00000000-0008-0000-0200-00000C2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331960" y="130810"/>
          <a:ext cx="694690" cy="231140"/>
        </a:xfrm>
        <a:prstGeom prst="rect">
          <a:avLst/>
        </a:prstGeom>
        <a:noFill/>
        <a:ln w="9525">
          <a:noFill/>
          <a:miter lim="800000"/>
          <a:headEnd/>
          <a:tailEnd/>
        </a:ln>
      </xdr:spPr>
    </xdr:pic>
    <xdr:clientData/>
  </xdr:twoCellAnchor>
  <xdr:twoCellAnchor editAs="oneCell">
    <xdr:from>
      <xdr:col>11</xdr:col>
      <xdr:colOff>129540</xdr:colOff>
      <xdr:row>44</xdr:row>
      <xdr:rowOff>68580</xdr:rowOff>
    </xdr:from>
    <xdr:to>
      <xdr:col>11</xdr:col>
      <xdr:colOff>205740</xdr:colOff>
      <xdr:row>45</xdr:row>
      <xdr:rowOff>76200</xdr:rowOff>
    </xdr:to>
    <xdr:sp macro="" textlink="">
      <xdr:nvSpPr>
        <xdr:cNvPr id="11533" name="Text Box 5">
          <a:extLst>
            <a:ext uri="{FF2B5EF4-FFF2-40B4-BE49-F238E27FC236}">
              <a16:creationId xmlns:a16="http://schemas.microsoft.com/office/drawing/2014/main" id="{00000000-0008-0000-0200-00000D2D0000}"/>
            </a:ext>
          </a:extLst>
        </xdr:cNvPr>
        <xdr:cNvSpPr txBox="1">
          <a:spLocks noChangeArrowheads="1"/>
        </xdr:cNvSpPr>
      </xdr:nvSpPr>
      <xdr:spPr bwMode="auto">
        <a:xfrm>
          <a:off x="7086600" y="8511540"/>
          <a:ext cx="76200" cy="198120"/>
        </a:xfrm>
        <a:prstGeom prst="rect">
          <a:avLst/>
        </a:prstGeom>
        <a:noFill/>
        <a:ln w="9525">
          <a:noFill/>
          <a:miter lim="800000"/>
          <a:headEnd/>
          <a:tailEnd/>
        </a:ln>
      </xdr:spPr>
    </xdr:sp>
    <xdr:clientData/>
  </xdr:twoCellAnchor>
  <xdr:twoCellAnchor editAs="oneCell">
    <xdr:from>
      <xdr:col>11</xdr:col>
      <xdr:colOff>129540</xdr:colOff>
      <xdr:row>69</xdr:row>
      <xdr:rowOff>68580</xdr:rowOff>
    </xdr:from>
    <xdr:to>
      <xdr:col>11</xdr:col>
      <xdr:colOff>205740</xdr:colOff>
      <xdr:row>70</xdr:row>
      <xdr:rowOff>76200</xdr:rowOff>
    </xdr:to>
    <xdr:sp macro="" textlink="">
      <xdr:nvSpPr>
        <xdr:cNvPr id="11534" name="Text Box 6">
          <a:extLst>
            <a:ext uri="{FF2B5EF4-FFF2-40B4-BE49-F238E27FC236}">
              <a16:creationId xmlns:a16="http://schemas.microsoft.com/office/drawing/2014/main" id="{00000000-0008-0000-0200-00000E2D0000}"/>
            </a:ext>
          </a:extLst>
        </xdr:cNvPr>
        <xdr:cNvSpPr txBox="1">
          <a:spLocks noChangeArrowheads="1"/>
        </xdr:cNvSpPr>
      </xdr:nvSpPr>
      <xdr:spPr bwMode="auto">
        <a:xfrm>
          <a:off x="7086600" y="13274040"/>
          <a:ext cx="76200" cy="198120"/>
        </a:xfrm>
        <a:prstGeom prst="rect">
          <a:avLst/>
        </a:prstGeom>
        <a:noFill/>
        <a:ln w="9525">
          <a:noFill/>
          <a:miter lim="800000"/>
          <a:headEnd/>
          <a:tailEnd/>
        </a:ln>
      </xdr:spPr>
    </xdr:sp>
    <xdr:clientData/>
  </xdr:twoCellAnchor>
  <xdr:twoCellAnchor editAs="oneCell">
    <xdr:from>
      <xdr:col>11</xdr:col>
      <xdr:colOff>129540</xdr:colOff>
      <xdr:row>94</xdr:row>
      <xdr:rowOff>68580</xdr:rowOff>
    </xdr:from>
    <xdr:to>
      <xdr:col>11</xdr:col>
      <xdr:colOff>205740</xdr:colOff>
      <xdr:row>95</xdr:row>
      <xdr:rowOff>76200</xdr:rowOff>
    </xdr:to>
    <xdr:sp macro="" textlink="">
      <xdr:nvSpPr>
        <xdr:cNvPr id="11535" name="Text Box 7">
          <a:extLst>
            <a:ext uri="{FF2B5EF4-FFF2-40B4-BE49-F238E27FC236}">
              <a16:creationId xmlns:a16="http://schemas.microsoft.com/office/drawing/2014/main" id="{00000000-0008-0000-0200-00000F2D0000}"/>
            </a:ext>
          </a:extLst>
        </xdr:cNvPr>
        <xdr:cNvSpPr txBox="1">
          <a:spLocks noChangeArrowheads="1"/>
        </xdr:cNvSpPr>
      </xdr:nvSpPr>
      <xdr:spPr bwMode="auto">
        <a:xfrm>
          <a:off x="7086600" y="18036540"/>
          <a:ext cx="76200" cy="198120"/>
        </a:xfrm>
        <a:prstGeom prst="rect">
          <a:avLst/>
        </a:prstGeom>
        <a:noFill/>
        <a:ln w="9525">
          <a:noFill/>
          <a:miter lim="800000"/>
          <a:headEnd/>
          <a:tailEnd/>
        </a:ln>
      </xdr:spPr>
    </xdr:sp>
    <xdr:clientData/>
  </xdr:twoCellAnchor>
  <xdr:twoCellAnchor editAs="oneCell">
    <xdr:from>
      <xdr:col>11</xdr:col>
      <xdr:colOff>129540</xdr:colOff>
      <xdr:row>119</xdr:row>
      <xdr:rowOff>68580</xdr:rowOff>
    </xdr:from>
    <xdr:to>
      <xdr:col>11</xdr:col>
      <xdr:colOff>205740</xdr:colOff>
      <xdr:row>120</xdr:row>
      <xdr:rowOff>76200</xdr:rowOff>
    </xdr:to>
    <xdr:sp macro="" textlink="">
      <xdr:nvSpPr>
        <xdr:cNvPr id="11536" name="Text Box 8">
          <a:extLst>
            <a:ext uri="{FF2B5EF4-FFF2-40B4-BE49-F238E27FC236}">
              <a16:creationId xmlns:a16="http://schemas.microsoft.com/office/drawing/2014/main" id="{00000000-0008-0000-0200-0000102D0000}"/>
            </a:ext>
          </a:extLst>
        </xdr:cNvPr>
        <xdr:cNvSpPr txBox="1">
          <a:spLocks noChangeArrowheads="1"/>
        </xdr:cNvSpPr>
      </xdr:nvSpPr>
      <xdr:spPr bwMode="auto">
        <a:xfrm>
          <a:off x="7086600" y="22799040"/>
          <a:ext cx="76200" cy="19812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50800</xdr:colOff>
      <xdr:row>1</xdr:row>
      <xdr:rowOff>38096</xdr:rowOff>
    </xdr:to>
    <xdr:pic>
      <xdr:nvPicPr>
        <xdr:cNvPr id="3237" name="Picture 1">
          <a:extLst>
            <a:ext uri="{FF2B5EF4-FFF2-40B4-BE49-F238E27FC236}">
              <a16:creationId xmlns:a16="http://schemas.microsoft.com/office/drawing/2014/main" id="{00000000-0008-0000-0500-0000A5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0" y="0"/>
          <a:ext cx="812800" cy="67309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O62"/>
  <sheetViews>
    <sheetView workbookViewId="0">
      <selection activeCell="B14" sqref="B14"/>
    </sheetView>
  </sheetViews>
  <sheetFormatPr defaultRowHeight="13.15"/>
  <cols>
    <col min="8" max="8" width="5.7109375" customWidth="1"/>
  </cols>
  <sheetData>
    <row r="1" spans="1:15">
      <c r="A1" t="s">
        <v>0</v>
      </c>
      <c r="B1" t="s">
        <v>1</v>
      </c>
      <c r="C1" t="s">
        <v>2</v>
      </c>
      <c r="D1" t="s">
        <v>3</v>
      </c>
      <c r="E1" t="s">
        <v>4</v>
      </c>
      <c r="F1" t="s">
        <v>5</v>
      </c>
      <c r="G1" t="s">
        <v>6</v>
      </c>
      <c r="I1" t="s">
        <v>0</v>
      </c>
      <c r="J1" t="s">
        <v>1</v>
      </c>
      <c r="K1" t="s">
        <v>2</v>
      </c>
      <c r="L1" t="s">
        <v>3</v>
      </c>
      <c r="M1" t="s">
        <v>4</v>
      </c>
      <c r="N1" t="s">
        <v>5</v>
      </c>
      <c r="O1" t="s">
        <v>6</v>
      </c>
    </row>
    <row r="2" spans="1:15" ht="14.45">
      <c r="A2">
        <v>40</v>
      </c>
      <c r="B2" s="253">
        <v>1.8078703703703704E-2</v>
      </c>
      <c r="C2" s="253">
        <v>2.7245370370370371E-2</v>
      </c>
      <c r="D2" s="253">
        <v>4.583333333333333E-2</v>
      </c>
      <c r="E2" s="254">
        <v>5.5254629629629633E-2</v>
      </c>
      <c r="F2" s="253">
        <v>9.3831018518518522E-2</v>
      </c>
      <c r="G2" s="253">
        <v>0.19655092592592593</v>
      </c>
      <c r="I2">
        <v>40</v>
      </c>
      <c r="J2" s="253">
        <v>1.9606481481481482E-2</v>
      </c>
      <c r="K2" s="253">
        <v>2.9548611111111112E-2</v>
      </c>
      <c r="L2" s="253">
        <v>4.971064814814815E-2</v>
      </c>
      <c r="M2" s="253">
        <v>5.9930555555555556E-2</v>
      </c>
      <c r="N2" s="253">
        <v>0.10175925925925926</v>
      </c>
      <c r="O2" s="253">
        <v>0.2131712962962963</v>
      </c>
    </row>
    <row r="3" spans="1:15" ht="14.45">
      <c r="A3">
        <v>41</v>
      </c>
      <c r="B3" s="253">
        <v>1.8136574074074076E-2</v>
      </c>
      <c r="C3" s="253">
        <v>2.7337962962962963E-2</v>
      </c>
      <c r="D3" s="253">
        <v>4.5995370370370367E-2</v>
      </c>
      <c r="E3" s="254">
        <v>5.545138888888889E-2</v>
      </c>
      <c r="F3" s="253">
        <v>9.4166666666666662E-2</v>
      </c>
      <c r="G3" s="253">
        <v>0.19734953703703703</v>
      </c>
      <c r="I3">
        <v>41</v>
      </c>
      <c r="J3" s="253">
        <v>1.9675925925925927E-2</v>
      </c>
      <c r="K3" s="253">
        <v>2.9652777777777778E-2</v>
      </c>
      <c r="L3" s="253">
        <v>4.988425925925926E-2</v>
      </c>
      <c r="M3" s="253">
        <v>6.0138888888888888E-2</v>
      </c>
      <c r="N3" s="253">
        <v>0.10214120370370371</v>
      </c>
      <c r="O3" s="253">
        <v>0.21405092592592592</v>
      </c>
    </row>
    <row r="4" spans="1:15" ht="14.45">
      <c r="A4">
        <v>42</v>
      </c>
      <c r="B4" s="253">
        <v>1.8194444444444444E-2</v>
      </c>
      <c r="C4" s="253">
        <v>2.7430555555555555E-2</v>
      </c>
      <c r="D4" s="253">
        <v>4.614583333333333E-2</v>
      </c>
      <c r="E4" s="254">
        <v>5.5636574074074074E-2</v>
      </c>
      <c r="F4" s="253">
        <v>9.4502314814814817E-2</v>
      </c>
      <c r="G4" s="253">
        <v>0.19810185185185186</v>
      </c>
      <c r="I4">
        <v>42</v>
      </c>
      <c r="J4" s="253">
        <v>1.9745370370370371E-2</v>
      </c>
      <c r="K4" s="253">
        <v>2.9756944444444444E-2</v>
      </c>
      <c r="L4" s="253">
        <v>5.0057870370370371E-2</v>
      </c>
      <c r="M4" s="253">
        <v>6.0347222222222219E-2</v>
      </c>
      <c r="N4" s="253">
        <v>0.10249999999999999</v>
      </c>
      <c r="O4" s="253">
        <v>0.21488425925925925</v>
      </c>
    </row>
    <row r="5" spans="1:15" ht="14.45">
      <c r="A5">
        <v>43</v>
      </c>
      <c r="B5" s="253">
        <v>1.8252314814814815E-2</v>
      </c>
      <c r="C5" s="253">
        <v>2.7511574074074074E-2</v>
      </c>
      <c r="D5" s="253">
        <v>4.6296296296296294E-2</v>
      </c>
      <c r="E5" s="254">
        <v>5.5821759259259258E-2</v>
      </c>
      <c r="F5" s="253">
        <v>9.481481481481481E-2</v>
      </c>
      <c r="G5" s="253">
        <v>0.19883101851851853</v>
      </c>
      <c r="I5">
        <v>43</v>
      </c>
      <c r="J5" s="253">
        <v>1.9803240740740739E-2</v>
      </c>
      <c r="K5" s="253">
        <v>2.9849537037037036E-2</v>
      </c>
      <c r="L5" s="253">
        <v>5.0219907407407408E-2</v>
      </c>
      <c r="M5" s="253">
        <v>6.0555555555555557E-2</v>
      </c>
      <c r="N5" s="253">
        <v>0.1028587962962963</v>
      </c>
      <c r="O5" s="253">
        <v>0.21570601851851851</v>
      </c>
    </row>
    <row r="6" spans="1:15" ht="14.45">
      <c r="A6">
        <v>44</v>
      </c>
      <c r="B6" s="253">
        <v>1.8310185185185186E-2</v>
      </c>
      <c r="C6" s="253">
        <v>2.7604166666666666E-2</v>
      </c>
      <c r="D6" s="253">
        <v>4.6435185185185184E-2</v>
      </c>
      <c r="E6" s="254">
        <v>5.5995370370370369E-2</v>
      </c>
      <c r="F6" s="253">
        <v>9.5127314814814817E-2</v>
      </c>
      <c r="G6" s="253">
        <v>0.19954861111111111</v>
      </c>
      <c r="I6">
        <v>44</v>
      </c>
      <c r="J6" s="253">
        <v>1.9861111111111111E-2</v>
      </c>
      <c r="K6" s="253">
        <v>2.9942129629629631E-2</v>
      </c>
      <c r="L6" s="253">
        <v>5.0381944444444444E-2</v>
      </c>
      <c r="M6" s="253">
        <v>6.0752314814814815E-2</v>
      </c>
      <c r="N6" s="253">
        <v>0.10319444444444445</v>
      </c>
      <c r="O6" s="253">
        <v>0.21649305555555556</v>
      </c>
    </row>
    <row r="7" spans="1:15" ht="14.45">
      <c r="A7">
        <v>45</v>
      </c>
      <c r="B7" s="253">
        <v>1.8368055555555554E-2</v>
      </c>
      <c r="C7" s="253">
        <v>2.7685185185185184E-2</v>
      </c>
      <c r="D7" s="253">
        <v>4.6585648148148147E-2</v>
      </c>
      <c r="E7" s="254">
        <v>5.6168981481481479E-2</v>
      </c>
      <c r="F7" s="253">
        <v>9.5416666666666664E-2</v>
      </c>
      <c r="G7" s="253">
        <v>0.20023148148148148</v>
      </c>
      <c r="I7">
        <v>45</v>
      </c>
      <c r="J7" s="253">
        <v>1.9930555555555556E-2</v>
      </c>
      <c r="K7" s="253">
        <v>3.0034722222222223E-2</v>
      </c>
      <c r="L7" s="253">
        <v>5.0532407407407408E-2</v>
      </c>
      <c r="M7" s="253">
        <v>6.0937499999999999E-2</v>
      </c>
      <c r="N7" s="253">
        <v>0.10353009259259259</v>
      </c>
      <c r="O7" s="253">
        <v>0.21725694444444443</v>
      </c>
    </row>
    <row r="8" spans="1:15" ht="14.45">
      <c r="A8">
        <v>46</v>
      </c>
      <c r="B8" s="253">
        <v>1.8414351851851852E-2</v>
      </c>
      <c r="C8" s="253">
        <v>2.7766203703703703E-2</v>
      </c>
      <c r="D8" s="253">
        <v>4.6712962962962963E-2</v>
      </c>
      <c r="E8" s="254">
        <v>5.6331018518518516E-2</v>
      </c>
      <c r="F8" s="253">
        <v>9.5706018518518524E-2</v>
      </c>
      <c r="G8" s="253">
        <v>0.20090277777777779</v>
      </c>
      <c r="I8">
        <v>46</v>
      </c>
      <c r="J8" s="253">
        <v>1.9988425925925927E-2</v>
      </c>
      <c r="K8" s="253">
        <v>3.0115740740740742E-2</v>
      </c>
      <c r="L8" s="253">
        <v>5.0694444444444445E-2</v>
      </c>
      <c r="M8" s="253">
        <v>6.1122685185185183E-2</v>
      </c>
      <c r="N8" s="253">
        <v>0.10385416666666666</v>
      </c>
      <c r="O8" s="253">
        <v>0.2179976851851852</v>
      </c>
    </row>
    <row r="9" spans="1:15" ht="14.45">
      <c r="A9">
        <v>47</v>
      </c>
      <c r="B9" s="253">
        <v>1.8472222222222223E-2</v>
      </c>
      <c r="C9" s="253">
        <v>2.7835648148148148E-2</v>
      </c>
      <c r="D9" s="253">
        <v>4.6851851851851853E-2</v>
      </c>
      <c r="E9" s="254">
        <v>5.6504629629629627E-2</v>
      </c>
      <c r="F9" s="253">
        <v>9.599537037037037E-2</v>
      </c>
      <c r="G9" s="253">
        <v>0.20156250000000001</v>
      </c>
      <c r="I9">
        <v>47</v>
      </c>
      <c r="J9" s="253">
        <v>2.0046296296296295E-2</v>
      </c>
      <c r="K9" s="253">
        <v>3.0208333333333334E-2</v>
      </c>
      <c r="L9" s="253">
        <v>5.0844907407407408E-2</v>
      </c>
      <c r="M9" s="253">
        <v>6.1307870370370374E-2</v>
      </c>
      <c r="N9" s="253">
        <v>0.10416666666666667</v>
      </c>
      <c r="O9" s="253">
        <v>0.21873842592592593</v>
      </c>
    </row>
    <row r="10" spans="1:15" ht="14.45">
      <c r="A10">
        <v>48</v>
      </c>
      <c r="B10" s="253">
        <v>1.8518518518518517E-2</v>
      </c>
      <c r="C10" s="253">
        <v>2.7916666666666666E-2</v>
      </c>
      <c r="D10" s="253">
        <v>4.6990740740740743E-2</v>
      </c>
      <c r="E10" s="254">
        <v>5.6666666666666664E-2</v>
      </c>
      <c r="F10" s="253">
        <v>9.6273148148148149E-2</v>
      </c>
      <c r="G10" s="253">
        <v>0.20222222222222222</v>
      </c>
      <c r="I10">
        <v>48</v>
      </c>
      <c r="J10" s="253">
        <v>2.0092592592592592E-2</v>
      </c>
      <c r="K10" s="253">
        <v>3.0289351851851852E-2</v>
      </c>
      <c r="L10" s="253">
        <v>5.0983796296296298E-2</v>
      </c>
      <c r="M10" s="253">
        <v>6.1493055555555558E-2</v>
      </c>
      <c r="N10" s="253">
        <v>0.10447916666666666</v>
      </c>
      <c r="O10" s="253">
        <v>0.21945601851851851</v>
      </c>
    </row>
    <row r="11" spans="1:15" ht="14.45">
      <c r="A11">
        <v>49</v>
      </c>
      <c r="B11" s="253">
        <v>1.8576388888888889E-2</v>
      </c>
      <c r="C11" s="253">
        <v>2.7997685185185184E-2</v>
      </c>
      <c r="D11" s="253">
        <v>4.7118055555555559E-2</v>
      </c>
      <c r="E11" s="254">
        <v>5.6828703703703701E-2</v>
      </c>
      <c r="F11" s="253">
        <v>9.6562499999999996E-2</v>
      </c>
      <c r="G11" s="253">
        <v>0.20287037037037037</v>
      </c>
      <c r="I11">
        <v>49</v>
      </c>
      <c r="J11" s="253">
        <v>2.0150462962962964E-2</v>
      </c>
      <c r="K11" s="253">
        <v>3.0381944444444444E-2</v>
      </c>
      <c r="L11" s="253">
        <v>5.1134259259259261E-2</v>
      </c>
      <c r="M11" s="253">
        <v>6.1666666666666668E-2</v>
      </c>
      <c r="N11" s="253">
        <v>0.10479166666666667</v>
      </c>
      <c r="O11" s="253">
        <v>0.22018518518518518</v>
      </c>
    </row>
    <row r="12" spans="1:15" ht="14.45">
      <c r="A12">
        <v>50</v>
      </c>
      <c r="B12" s="253">
        <v>1.8622685185185187E-2</v>
      </c>
      <c r="C12" s="253">
        <v>2.8078703703703703E-2</v>
      </c>
      <c r="D12" s="253">
        <v>4.7256944444444442E-2</v>
      </c>
      <c r="E12" s="254">
        <v>5.6990740740740738E-2</v>
      </c>
      <c r="F12" s="253">
        <v>9.6840277777777775E-2</v>
      </c>
      <c r="G12" s="253">
        <v>0.20351851851851852</v>
      </c>
      <c r="I12">
        <v>50</v>
      </c>
      <c r="J12" s="253">
        <v>2.0208333333333332E-2</v>
      </c>
      <c r="K12" s="253">
        <v>3.0462962962962963E-2</v>
      </c>
      <c r="L12" s="253">
        <v>5.1284722222222225E-2</v>
      </c>
      <c r="M12" s="253">
        <v>6.1851851851851852E-2</v>
      </c>
      <c r="N12" s="253">
        <v>0.10510416666666667</v>
      </c>
      <c r="O12" s="253">
        <v>0.22090277777777778</v>
      </c>
    </row>
    <row r="13" spans="1:15" ht="14.45">
      <c r="A13">
        <v>51</v>
      </c>
      <c r="B13" s="253">
        <v>1.8680555555555554E-2</v>
      </c>
      <c r="C13" s="253">
        <v>2.8148148148148148E-2</v>
      </c>
      <c r="D13" s="253">
        <v>4.7395833333333331E-2</v>
      </c>
      <c r="E13" s="254">
        <v>5.7152777777777775E-2</v>
      </c>
      <c r="F13" s="253">
        <v>9.7118055555555555E-2</v>
      </c>
      <c r="G13" s="253">
        <v>0.20416666666666666</v>
      </c>
      <c r="I13">
        <v>51</v>
      </c>
      <c r="J13" s="253">
        <v>2.0266203703703703E-2</v>
      </c>
      <c r="K13" s="253">
        <v>3.0555555555555555E-2</v>
      </c>
      <c r="L13" s="253">
        <v>5.1435185185185188E-2</v>
      </c>
      <c r="M13" s="253">
        <v>6.2037037037037036E-2</v>
      </c>
      <c r="N13" s="253">
        <v>0.10541666666666667</v>
      </c>
      <c r="O13" s="253">
        <v>0.22163194444444445</v>
      </c>
    </row>
    <row r="14" spans="1:15" ht="14.45">
      <c r="A14">
        <v>52</v>
      </c>
      <c r="B14" s="253">
        <v>1.8726851851851852E-2</v>
      </c>
      <c r="C14" s="253">
        <v>2.8229166666666666E-2</v>
      </c>
      <c r="D14" s="253">
        <v>4.7523148148148148E-2</v>
      </c>
      <c r="E14" s="254">
        <v>5.7314814814814811E-2</v>
      </c>
      <c r="F14" s="253">
        <v>9.7407407407407401E-2</v>
      </c>
      <c r="G14" s="253">
        <v>0.20483796296296297</v>
      </c>
      <c r="I14">
        <v>52</v>
      </c>
      <c r="J14" s="253">
        <v>2.0324074074074074E-2</v>
      </c>
      <c r="K14" s="253">
        <v>3.0648148148148147E-2</v>
      </c>
      <c r="L14" s="253">
        <v>5.1585648148148151E-2</v>
      </c>
      <c r="M14" s="253">
        <v>6.222222222222222E-2</v>
      </c>
      <c r="N14" s="253">
        <v>0.10572916666666667</v>
      </c>
      <c r="O14" s="253">
        <v>0.22236111111111112</v>
      </c>
    </row>
    <row r="15" spans="1:15" ht="14.45">
      <c r="A15">
        <v>53</v>
      </c>
      <c r="B15" s="253">
        <v>1.8784722222222223E-2</v>
      </c>
      <c r="C15" s="253">
        <v>2.8310185185185185E-2</v>
      </c>
      <c r="D15" s="253">
        <v>4.7662037037037037E-2</v>
      </c>
      <c r="E15" s="254">
        <v>5.7488425925925929E-2</v>
      </c>
      <c r="F15" s="253">
        <v>9.768518518518518E-2</v>
      </c>
      <c r="G15" s="253">
        <v>0.20550925925925925</v>
      </c>
      <c r="I15">
        <v>53</v>
      </c>
      <c r="J15" s="253">
        <v>2.0381944444444446E-2</v>
      </c>
      <c r="K15" s="253">
        <v>3.0729166666666665E-2</v>
      </c>
      <c r="L15" s="253">
        <v>5.1747685185185188E-2</v>
      </c>
      <c r="M15" s="253">
        <v>6.2407407407407404E-2</v>
      </c>
      <c r="N15" s="253">
        <v>0.10605324074074074</v>
      </c>
      <c r="O15" s="253">
        <v>0.22311342592592592</v>
      </c>
    </row>
    <row r="16" spans="1:15" ht="14.45">
      <c r="A16">
        <v>54</v>
      </c>
      <c r="B16" s="253">
        <v>1.8831018518518518E-2</v>
      </c>
      <c r="C16" s="253">
        <v>2.8391203703703703E-2</v>
      </c>
      <c r="D16" s="253">
        <v>4.7812500000000001E-2</v>
      </c>
      <c r="E16" s="254">
        <v>5.7662037037037039E-2</v>
      </c>
      <c r="F16" s="253">
        <v>9.7986111111111107E-2</v>
      </c>
      <c r="G16" s="253">
        <v>0.20619212962962963</v>
      </c>
      <c r="I16">
        <v>54</v>
      </c>
      <c r="J16" s="253">
        <v>2.045138888888889E-2</v>
      </c>
      <c r="K16" s="253">
        <v>3.0821759259259261E-2</v>
      </c>
      <c r="L16" s="253">
        <v>5.1898148148148152E-2</v>
      </c>
      <c r="M16" s="253">
        <v>6.2604166666666669E-2</v>
      </c>
      <c r="N16" s="253">
        <v>0.10637731481481481</v>
      </c>
      <c r="O16" s="253">
        <v>0.22387731481481482</v>
      </c>
    </row>
    <row r="17" spans="1:15" ht="14.45">
      <c r="A17">
        <v>55</v>
      </c>
      <c r="B17" s="253">
        <v>1.8888888888888889E-2</v>
      </c>
      <c r="C17" s="253">
        <v>2.8483796296296295E-2</v>
      </c>
      <c r="D17" s="253">
        <v>4.7951388888888891E-2</v>
      </c>
      <c r="E17" s="254">
        <v>5.7847222222222223E-2</v>
      </c>
      <c r="F17" s="253">
        <v>9.8287037037037034E-2</v>
      </c>
      <c r="G17" s="253">
        <v>0.20689814814814814</v>
      </c>
      <c r="I17">
        <v>55</v>
      </c>
      <c r="J17" s="253">
        <v>2.0509259259259258E-2</v>
      </c>
      <c r="K17" s="253">
        <v>3.0925925925925926E-2</v>
      </c>
      <c r="L17" s="253">
        <v>5.2060185185185189E-2</v>
      </c>
      <c r="M17" s="253">
        <v>6.2800925925925927E-2</v>
      </c>
      <c r="N17" s="253">
        <v>0.10671296296296297</v>
      </c>
      <c r="O17" s="253">
        <v>0.22465277777777778</v>
      </c>
    </row>
    <row r="18" spans="1:15" ht="14.45">
      <c r="A18">
        <v>56</v>
      </c>
      <c r="B18" s="253">
        <v>1.894675925925926E-2</v>
      </c>
      <c r="C18" s="253">
        <v>2.8564814814814814E-2</v>
      </c>
      <c r="D18" s="253">
        <v>4.8101851851851854E-2</v>
      </c>
      <c r="E18" s="254">
        <v>5.8032407407407408E-2</v>
      </c>
      <c r="F18" s="253">
        <v>9.8599537037037041E-2</v>
      </c>
      <c r="G18" s="253">
        <v>0.20762731481481481</v>
      </c>
      <c r="I18">
        <v>56</v>
      </c>
      <c r="J18" s="253">
        <v>2.0578703703703703E-2</v>
      </c>
      <c r="K18" s="253">
        <v>3.1018518518518518E-2</v>
      </c>
      <c r="L18" s="253">
        <v>5.2233796296296299E-2</v>
      </c>
      <c r="M18" s="253">
        <v>6.3009259259259265E-2</v>
      </c>
      <c r="N18" s="253">
        <v>0.10706018518518519</v>
      </c>
      <c r="O18" s="253">
        <v>0.22546296296296298</v>
      </c>
    </row>
    <row r="19" spans="1:15" ht="14.45">
      <c r="A19">
        <v>57</v>
      </c>
      <c r="B19" s="253">
        <v>1.9004629629629628E-2</v>
      </c>
      <c r="C19" s="253">
        <v>2.8657407407407406E-2</v>
      </c>
      <c r="D19" s="253">
        <v>4.8263888888888891E-2</v>
      </c>
      <c r="E19" s="254">
        <v>5.8217592592592592E-2</v>
      </c>
      <c r="F19" s="253">
        <v>9.8923611111111115E-2</v>
      </c>
      <c r="G19" s="253">
        <v>0.20837962962962964</v>
      </c>
      <c r="I19">
        <v>57</v>
      </c>
      <c r="J19" s="253">
        <v>2.0636574074074075E-2</v>
      </c>
      <c r="K19" s="253">
        <v>3.1122685185185184E-2</v>
      </c>
      <c r="L19" s="253">
        <v>5.2407407407407409E-2</v>
      </c>
      <c r="M19" s="253">
        <v>6.3217592592592589E-2</v>
      </c>
      <c r="N19" s="253">
        <v>0.10740740740740741</v>
      </c>
      <c r="O19" s="253">
        <v>0.22630787037037037</v>
      </c>
    </row>
    <row r="20" spans="1:15" ht="14.45">
      <c r="A20">
        <v>58</v>
      </c>
      <c r="B20" s="253">
        <v>1.9074074074074073E-2</v>
      </c>
      <c r="C20" s="253">
        <v>2.8750000000000001E-2</v>
      </c>
      <c r="D20" s="253">
        <v>4.8425925925925928E-2</v>
      </c>
      <c r="E20" s="254">
        <v>5.8414351851851849E-2</v>
      </c>
      <c r="F20" s="253">
        <v>9.9247685185185189E-2</v>
      </c>
      <c r="G20" s="253">
        <v>0.20916666666666667</v>
      </c>
      <c r="I20">
        <v>58</v>
      </c>
      <c r="J20" s="253">
        <v>2.0706018518518519E-2</v>
      </c>
      <c r="K20" s="253">
        <v>3.1226851851851853E-2</v>
      </c>
      <c r="L20" s="253">
        <v>5.2592592592592594E-2</v>
      </c>
      <c r="M20" s="253">
        <v>6.3437499999999994E-2</v>
      </c>
      <c r="N20" s="253">
        <v>0.10777777777777778</v>
      </c>
      <c r="O20" s="253">
        <v>0.22717592592592592</v>
      </c>
    </row>
    <row r="21" spans="1:15" ht="14.45">
      <c r="A21">
        <v>59</v>
      </c>
      <c r="B21" s="253">
        <v>1.9131944444444444E-2</v>
      </c>
      <c r="C21" s="253">
        <v>2.8854166666666667E-2</v>
      </c>
      <c r="D21" s="253">
        <v>4.8599537037037038E-2</v>
      </c>
      <c r="E21" s="254">
        <v>5.8622685185185187E-2</v>
      </c>
      <c r="F21" s="253">
        <v>9.959490740740741E-2</v>
      </c>
      <c r="G21" s="253">
        <v>0.20998842592592593</v>
      </c>
      <c r="I21">
        <v>59</v>
      </c>
      <c r="J21" s="253">
        <v>2.0775462962962964E-2</v>
      </c>
      <c r="K21" s="253">
        <v>3.1331018518518522E-2</v>
      </c>
      <c r="L21" s="253">
        <v>5.2777777777777778E-2</v>
      </c>
      <c r="M21" s="253">
        <v>6.3668981481481479E-2</v>
      </c>
      <c r="N21" s="253">
        <v>0.10817129629629629</v>
      </c>
      <c r="O21" s="253">
        <v>0.22809027777777777</v>
      </c>
    </row>
    <row r="22" spans="1:15" ht="14.45">
      <c r="A22">
        <v>60</v>
      </c>
      <c r="B22" s="253">
        <v>1.9201388888888889E-2</v>
      </c>
      <c r="C22" s="253">
        <v>2.8958333333333332E-2</v>
      </c>
      <c r="D22" s="253">
        <v>4.8773148148148149E-2</v>
      </c>
      <c r="E22" s="254">
        <v>5.8842592592592592E-2</v>
      </c>
      <c r="F22" s="253">
        <v>9.9965277777777778E-2</v>
      </c>
      <c r="G22" s="253">
        <v>0.21083333333333334</v>
      </c>
      <c r="I22">
        <v>60</v>
      </c>
      <c r="J22" s="253">
        <v>2.0856481481481483E-2</v>
      </c>
      <c r="K22" s="253">
        <v>3.1446759259259258E-2</v>
      </c>
      <c r="L22" s="253">
        <v>5.2974537037037035E-2</v>
      </c>
      <c r="M22" s="253">
        <v>6.3912037037037031E-2</v>
      </c>
      <c r="N22" s="253">
        <v>0.10857638888888889</v>
      </c>
      <c r="O22" s="253">
        <v>0.22903935185185184</v>
      </c>
    </row>
    <row r="23" spans="1:15" ht="14.45">
      <c r="A23">
        <v>61</v>
      </c>
      <c r="B23" s="253">
        <v>1.9270833333333334E-2</v>
      </c>
      <c r="C23" s="253">
        <v>2.9062500000000002E-2</v>
      </c>
      <c r="D23" s="253">
        <v>4.8958333333333333E-2</v>
      </c>
      <c r="E23" s="254">
        <v>5.9074074074074077E-2</v>
      </c>
      <c r="F23" s="253">
        <v>0.10034722222222223</v>
      </c>
      <c r="G23" s="253">
        <v>0.21173611111111112</v>
      </c>
      <c r="I23">
        <v>61</v>
      </c>
      <c r="J23" s="253">
        <v>2.0937500000000001E-2</v>
      </c>
      <c r="K23" s="253">
        <v>3.1574074074074074E-2</v>
      </c>
      <c r="L23" s="253">
        <v>5.3182870370370373E-2</v>
      </c>
      <c r="M23" s="253">
        <v>6.4166666666666664E-2</v>
      </c>
      <c r="N23" s="253">
        <v>0.10899305555555555</v>
      </c>
      <c r="O23" s="253">
        <v>0.23003472222222221</v>
      </c>
    </row>
    <row r="24" spans="1:15" ht="14.45">
      <c r="A24">
        <v>62</v>
      </c>
      <c r="B24" s="253">
        <v>1.9351851851851853E-2</v>
      </c>
      <c r="C24" s="253">
        <v>2.9178240740740741E-2</v>
      </c>
      <c r="D24" s="253">
        <v>4.9155092592592591E-2</v>
      </c>
      <c r="E24" s="254">
        <v>5.9305555555555556E-2</v>
      </c>
      <c r="F24" s="253">
        <v>0.10074074074074074</v>
      </c>
      <c r="G24" s="253">
        <v>0.2126736111111111</v>
      </c>
      <c r="I24">
        <v>62</v>
      </c>
      <c r="J24" s="253">
        <v>2.101851851851852E-2</v>
      </c>
      <c r="K24" s="253">
        <v>3.170138888888889E-2</v>
      </c>
      <c r="L24" s="253">
        <v>5.3402777777777778E-2</v>
      </c>
      <c r="M24" s="253">
        <v>6.4432870370370376E-2</v>
      </c>
      <c r="N24" s="253">
        <v>0.10943287037037037</v>
      </c>
      <c r="O24" s="253">
        <v>0.2310763888888889</v>
      </c>
    </row>
    <row r="25" spans="1:15" ht="14.45">
      <c r="A25">
        <v>63</v>
      </c>
      <c r="B25" s="253">
        <v>1.9432870370370371E-2</v>
      </c>
      <c r="C25" s="253">
        <v>2.9305555555555557E-2</v>
      </c>
      <c r="D25" s="253">
        <v>4.9363425925925929E-2</v>
      </c>
      <c r="E25" s="254">
        <v>5.9560185185185188E-2</v>
      </c>
      <c r="F25" s="253">
        <v>0.1011574074074074</v>
      </c>
      <c r="G25" s="253">
        <v>0.21366898148148147</v>
      </c>
      <c r="I25">
        <v>63</v>
      </c>
      <c r="J25" s="253">
        <v>2.1111111111111112E-2</v>
      </c>
      <c r="K25" s="253">
        <v>3.1828703703703706E-2</v>
      </c>
      <c r="L25" s="253">
        <v>5.3634259259259257E-2</v>
      </c>
      <c r="M25" s="253">
        <v>6.4710648148148142E-2</v>
      </c>
      <c r="N25" s="253">
        <v>0.10990740740740741</v>
      </c>
      <c r="O25" s="253">
        <v>0.23218749999999999</v>
      </c>
    </row>
    <row r="26" spans="1:15" ht="14.45">
      <c r="A26">
        <v>64</v>
      </c>
      <c r="B26" s="253">
        <v>1.951388888888889E-2</v>
      </c>
      <c r="C26" s="253">
        <v>2.9421296296296296E-2</v>
      </c>
      <c r="D26" s="253">
        <v>4.9583333333333333E-2</v>
      </c>
      <c r="E26" s="254">
        <v>5.9826388888888887E-2</v>
      </c>
      <c r="F26" s="253">
        <v>0.10159722222222223</v>
      </c>
      <c r="G26" s="253">
        <v>0.21472222222222223</v>
      </c>
      <c r="I26">
        <v>64</v>
      </c>
      <c r="J26" s="253">
        <v>2.119212962962963E-2</v>
      </c>
      <c r="K26" s="253">
        <v>3.1967592592592596E-2</v>
      </c>
      <c r="L26" s="253">
        <v>5.3877314814814815E-2</v>
      </c>
      <c r="M26" s="253">
        <v>6.5000000000000002E-2</v>
      </c>
      <c r="N26" s="253">
        <v>0.11039351851851852</v>
      </c>
      <c r="O26" s="253">
        <v>0.2333449074074074</v>
      </c>
    </row>
    <row r="27" spans="1:15" ht="14.45">
      <c r="A27">
        <v>65</v>
      </c>
      <c r="B27" s="253">
        <v>1.9594907407407408E-2</v>
      </c>
      <c r="C27" s="253">
        <v>2.9560185185185186E-2</v>
      </c>
      <c r="D27" s="253">
        <v>4.9814814814814812E-2</v>
      </c>
      <c r="E27" s="254">
        <v>6.0104166666666667E-2</v>
      </c>
      <c r="F27" s="253">
        <v>0.10207175925925926</v>
      </c>
      <c r="G27" s="253">
        <v>0.21583333333333332</v>
      </c>
      <c r="I27">
        <v>65</v>
      </c>
      <c r="J27" s="253">
        <v>2.1296296296296296E-2</v>
      </c>
      <c r="K27" s="253">
        <v>3.2118055555555552E-2</v>
      </c>
      <c r="L27" s="253">
        <v>5.4131944444444448E-2</v>
      </c>
      <c r="M27" s="253">
        <v>6.5312499999999996E-2</v>
      </c>
      <c r="N27" s="253">
        <v>0.11091435185185185</v>
      </c>
      <c r="O27" s="253">
        <v>0.23458333333333334</v>
      </c>
    </row>
    <row r="28" spans="1:15" ht="14.45">
      <c r="A28">
        <v>66</v>
      </c>
      <c r="B28" s="253">
        <v>1.96875E-2</v>
      </c>
      <c r="C28" s="253">
        <v>2.9699074074074076E-2</v>
      </c>
      <c r="D28" s="253">
        <v>5.0057870370370371E-2</v>
      </c>
      <c r="E28" s="254">
        <v>6.0405092592592594E-2</v>
      </c>
      <c r="F28" s="253">
        <v>0.10255787037037037</v>
      </c>
      <c r="G28" s="253">
        <v>0.21700231481481483</v>
      </c>
      <c r="I28">
        <v>66</v>
      </c>
      <c r="J28" s="253">
        <v>2.1400462962962961E-2</v>
      </c>
      <c r="K28" s="253">
        <v>3.2280092592592589E-2</v>
      </c>
      <c r="L28" s="253">
        <v>5.4398148148148147E-2</v>
      </c>
      <c r="M28" s="253">
        <v>6.564814814814815E-2</v>
      </c>
      <c r="N28" s="253">
        <v>0.11145833333333334</v>
      </c>
      <c r="O28" s="253">
        <v>0.23587962962962963</v>
      </c>
    </row>
    <row r="29" spans="1:15" ht="14.45">
      <c r="A29">
        <v>67</v>
      </c>
      <c r="B29" s="253">
        <v>1.9791666666666666E-2</v>
      </c>
      <c r="C29" s="253">
        <v>2.9849537037037036E-2</v>
      </c>
      <c r="D29" s="253">
        <v>5.0312500000000003E-2</v>
      </c>
      <c r="E29" s="254">
        <v>6.0717592592592594E-2</v>
      </c>
      <c r="F29" s="253">
        <v>0.1030787037037037</v>
      </c>
      <c r="G29" s="253">
        <v>0.2182523148148148</v>
      </c>
      <c r="I29">
        <v>67</v>
      </c>
      <c r="J29" s="253">
        <v>2.150462962962963E-2</v>
      </c>
      <c r="K29" s="253">
        <v>3.2442129629629626E-2</v>
      </c>
      <c r="L29" s="253">
        <v>5.46875E-2</v>
      </c>
      <c r="M29" s="253">
        <v>6.5995370370370371E-2</v>
      </c>
      <c r="N29" s="253">
        <v>0.11203703703703703</v>
      </c>
      <c r="O29" s="253">
        <v>0.23726851851851852</v>
      </c>
    </row>
    <row r="30" spans="1:15" ht="14.45">
      <c r="A30">
        <v>68</v>
      </c>
      <c r="B30" s="253">
        <v>1.9895833333333335E-2</v>
      </c>
      <c r="C30" s="253">
        <v>3.0011574074074072E-2</v>
      </c>
      <c r="D30" s="253">
        <v>5.0590277777777776E-2</v>
      </c>
      <c r="E30" s="254">
        <v>6.1053240740740741E-2</v>
      </c>
      <c r="F30" s="253">
        <v>0.10363425925925926</v>
      </c>
      <c r="G30" s="253">
        <v>0.21957175925925926</v>
      </c>
      <c r="I30">
        <v>68</v>
      </c>
      <c r="J30" s="253">
        <v>2.162037037037037E-2</v>
      </c>
      <c r="K30" s="253">
        <v>3.2615740740740744E-2</v>
      </c>
      <c r="L30" s="253">
        <v>5.4988425925925927E-2</v>
      </c>
      <c r="M30" s="253">
        <v>6.6365740740740739E-2</v>
      </c>
      <c r="N30" s="253">
        <v>0.11265046296296297</v>
      </c>
      <c r="O30" s="253">
        <v>0.23873842592592592</v>
      </c>
    </row>
    <row r="31" spans="1:15" ht="14.45">
      <c r="A31">
        <v>69</v>
      </c>
      <c r="B31" s="253">
        <v>0.02</v>
      </c>
      <c r="C31" s="253">
        <v>3.0173611111111109E-2</v>
      </c>
      <c r="D31" s="253">
        <v>5.0868055555555555E-2</v>
      </c>
      <c r="E31" s="254">
        <v>6.1400462962962962E-2</v>
      </c>
      <c r="F31" s="253">
        <v>0.10421296296296297</v>
      </c>
      <c r="G31" s="253">
        <v>0.22097222222222221</v>
      </c>
      <c r="I31">
        <v>69</v>
      </c>
      <c r="J31" s="253">
        <v>2.1736111111111112E-2</v>
      </c>
      <c r="K31" s="253">
        <v>3.2800925925925928E-2</v>
      </c>
      <c r="L31" s="253">
        <v>5.5300925925925927E-2</v>
      </c>
      <c r="M31" s="253">
        <v>6.6759259259259254E-2</v>
      </c>
      <c r="N31" s="253">
        <v>0.11329861111111111</v>
      </c>
      <c r="O31" s="253">
        <v>0.24030092592592592</v>
      </c>
    </row>
    <row r="32" spans="1:15" ht="14.45">
      <c r="A32">
        <v>70</v>
      </c>
      <c r="B32" s="253">
        <v>2.011574074074074E-2</v>
      </c>
      <c r="C32" s="253">
        <v>3.0347222222222223E-2</v>
      </c>
      <c r="D32" s="253">
        <v>5.1180555555555556E-2</v>
      </c>
      <c r="E32" s="254">
        <v>6.1782407407407404E-2</v>
      </c>
      <c r="F32" s="253">
        <v>0.10483796296296297</v>
      </c>
      <c r="G32" s="253">
        <v>0.22247685185185184</v>
      </c>
      <c r="I32">
        <v>70</v>
      </c>
      <c r="J32" s="253">
        <v>2.1874999999999999E-2</v>
      </c>
      <c r="K32" s="253">
        <v>3.2997685185185185E-2</v>
      </c>
      <c r="L32" s="253">
        <v>5.5648148148148148E-2</v>
      </c>
      <c r="M32" s="253">
        <v>6.7175925925925931E-2</v>
      </c>
      <c r="N32" s="253">
        <v>0.11399305555555556</v>
      </c>
      <c r="O32" s="253">
        <v>0.24195601851851853</v>
      </c>
    </row>
    <row r="33" spans="1:15" ht="14.45">
      <c r="A33">
        <v>71</v>
      </c>
      <c r="B33" s="253">
        <v>2.0243055555555556E-2</v>
      </c>
      <c r="C33" s="253">
        <v>3.0543981481481481E-2</v>
      </c>
      <c r="D33" s="253">
        <v>5.1504629629629629E-2</v>
      </c>
      <c r="E33" s="254">
        <v>6.2175925925925926E-2</v>
      </c>
      <c r="F33" s="253">
        <v>0.10549768518518518</v>
      </c>
      <c r="G33" s="253">
        <v>0.22407407407407406</v>
      </c>
      <c r="I33">
        <v>71</v>
      </c>
      <c r="J33" s="253">
        <v>2.2002314814814815E-2</v>
      </c>
      <c r="K33" s="253">
        <v>3.3206018518518517E-2</v>
      </c>
      <c r="L33" s="253">
        <v>5.6006944444444443E-2</v>
      </c>
      <c r="M33" s="253">
        <v>6.761574074074074E-2</v>
      </c>
      <c r="N33" s="253">
        <v>0.11472222222222223</v>
      </c>
      <c r="O33" s="253">
        <v>0.24372685185185186</v>
      </c>
    </row>
    <row r="34" spans="1:15" ht="14.45">
      <c r="A34">
        <v>72</v>
      </c>
      <c r="B34" s="253">
        <v>2.0370370370370372E-2</v>
      </c>
      <c r="C34" s="253">
        <v>3.0740740740740742E-2</v>
      </c>
      <c r="D34" s="253">
        <v>5.185185185185185E-2</v>
      </c>
      <c r="E34" s="254">
        <v>6.2604166666666669E-2</v>
      </c>
      <c r="F34" s="253">
        <v>0.1062037037037037</v>
      </c>
      <c r="G34" s="253">
        <v>0.22577546296296297</v>
      </c>
      <c r="I34">
        <v>72</v>
      </c>
      <c r="J34" s="253">
        <v>2.2152777777777778E-2</v>
      </c>
      <c r="K34" s="253">
        <v>3.3425925925925928E-2</v>
      </c>
      <c r="L34" s="253">
        <v>5.6388888888888891E-2</v>
      </c>
      <c r="M34" s="253">
        <v>6.8078703703703697E-2</v>
      </c>
      <c r="N34" s="253">
        <v>0.11549768518518519</v>
      </c>
      <c r="O34" s="253">
        <v>0.24562500000000001</v>
      </c>
    </row>
    <row r="35" spans="1:15" ht="14.45">
      <c r="A35">
        <v>73</v>
      </c>
      <c r="B35" s="253">
        <v>2.0509259259259258E-2</v>
      </c>
      <c r="C35" s="253">
        <v>3.0949074074074073E-2</v>
      </c>
      <c r="D35" s="253">
        <v>5.2222222222222225E-2</v>
      </c>
      <c r="E35" s="254">
        <v>6.3055555555555559E-2</v>
      </c>
      <c r="F35" s="253">
        <v>0.10694444444444444</v>
      </c>
      <c r="G35" s="253">
        <v>0.2275925925925926</v>
      </c>
      <c r="I35">
        <v>73</v>
      </c>
      <c r="J35" s="253">
        <v>2.2303240740740742E-2</v>
      </c>
      <c r="K35" s="253">
        <v>3.366898148148148E-2</v>
      </c>
      <c r="L35" s="253">
        <v>5.6805555555555554E-2</v>
      </c>
      <c r="M35" s="253">
        <v>6.8587962962962962E-2</v>
      </c>
      <c r="N35" s="253">
        <v>0.11633101851851851</v>
      </c>
      <c r="O35" s="253">
        <v>0.24765046296296298</v>
      </c>
    </row>
    <row r="36" spans="1:15" ht="14.45">
      <c r="A36">
        <v>74</v>
      </c>
      <c r="B36" s="253">
        <v>2.0659722222222222E-2</v>
      </c>
      <c r="C36" s="253">
        <v>3.1180555555555555E-2</v>
      </c>
      <c r="D36" s="253">
        <v>5.2615740740740741E-2</v>
      </c>
      <c r="E36" s="254">
        <v>6.3530092592592596E-2</v>
      </c>
      <c r="F36" s="253">
        <v>0.10774305555555555</v>
      </c>
      <c r="G36" s="253">
        <v>0.22954861111111111</v>
      </c>
      <c r="I36">
        <v>74</v>
      </c>
      <c r="J36" s="253">
        <v>2.2476851851851852E-2</v>
      </c>
      <c r="K36" s="253">
        <v>3.3912037037037039E-2</v>
      </c>
      <c r="L36" s="253">
        <v>5.724537037037037E-2</v>
      </c>
      <c r="M36" s="253">
        <v>6.9120370370370374E-2</v>
      </c>
      <c r="N36" s="253">
        <v>0.11722222222222223</v>
      </c>
      <c r="O36" s="253">
        <v>0.24981481481481482</v>
      </c>
    </row>
    <row r="37" spans="1:15" ht="14.45">
      <c r="A37">
        <v>75</v>
      </c>
      <c r="B37" s="253">
        <v>2.0821759259259259E-2</v>
      </c>
      <c r="C37" s="253">
        <v>3.142361111111111E-2</v>
      </c>
      <c r="D37" s="253">
        <v>5.303240740740741E-2</v>
      </c>
      <c r="E37" s="254">
        <v>6.4050925925925928E-2</v>
      </c>
      <c r="F37" s="253">
        <v>0.10859953703703704</v>
      </c>
      <c r="G37" s="253">
        <v>0.23163194444444443</v>
      </c>
      <c r="I37">
        <v>75</v>
      </c>
      <c r="J37" s="253">
        <v>2.2650462962962963E-2</v>
      </c>
      <c r="K37" s="253">
        <v>3.4189814814814812E-2</v>
      </c>
      <c r="L37" s="253">
        <v>5.7708333333333334E-2</v>
      </c>
      <c r="M37" s="253">
        <v>6.9687499999999999E-2</v>
      </c>
      <c r="N37" s="253">
        <v>0.11815972222222222</v>
      </c>
      <c r="O37" s="253">
        <v>0.25212962962962965</v>
      </c>
    </row>
    <row r="38" spans="1:15" ht="14.45">
      <c r="A38">
        <v>76</v>
      </c>
      <c r="B38" s="253">
        <v>2.0983796296296296E-2</v>
      </c>
      <c r="C38" s="253">
        <v>3.1678240740740743E-2</v>
      </c>
      <c r="D38" s="253">
        <v>5.3483796296296293E-2</v>
      </c>
      <c r="E38" s="254">
        <v>6.4594907407407406E-2</v>
      </c>
      <c r="F38" s="253">
        <v>0.10950231481481482</v>
      </c>
      <c r="G38" s="253">
        <v>0.2338773148148148</v>
      </c>
      <c r="I38">
        <v>76</v>
      </c>
      <c r="J38" s="253">
        <v>2.2835648148148147E-2</v>
      </c>
      <c r="K38" s="253">
        <v>3.4479166666666665E-2</v>
      </c>
      <c r="L38" s="253">
        <v>5.8206018518518518E-2</v>
      </c>
      <c r="M38" s="253">
        <v>7.0300925925925919E-2</v>
      </c>
      <c r="N38" s="253">
        <v>0.11917824074074074</v>
      </c>
      <c r="O38" s="253">
        <v>0.25461805555555556</v>
      </c>
    </row>
    <row r="39" spans="1:15" ht="14.45">
      <c r="A39">
        <v>77</v>
      </c>
      <c r="B39" s="253">
        <v>2.1168981481481483E-2</v>
      </c>
      <c r="C39" s="253">
        <v>3.1956018518518516E-2</v>
      </c>
      <c r="D39" s="253">
        <v>5.395833333333333E-2</v>
      </c>
      <c r="E39" s="254">
        <v>6.5185185185185179E-2</v>
      </c>
      <c r="F39" s="253">
        <v>0.11047453703703704</v>
      </c>
      <c r="G39" s="253">
        <v>0.23628472222222222</v>
      </c>
      <c r="I39">
        <v>77</v>
      </c>
      <c r="J39" s="253">
        <v>2.3032407407407408E-2</v>
      </c>
      <c r="K39" s="253">
        <v>3.4780092592592592E-2</v>
      </c>
      <c r="L39" s="253">
        <v>5.8738425925925923E-2</v>
      </c>
      <c r="M39" s="253">
        <v>7.0960648148148148E-2</v>
      </c>
      <c r="N39" s="253">
        <v>0.12025462962962963</v>
      </c>
      <c r="O39" s="253">
        <v>0.25730324074074074</v>
      </c>
    </row>
    <row r="40" spans="1:15" ht="14.45">
      <c r="A40">
        <v>78</v>
      </c>
      <c r="B40" s="253">
        <v>2.1354166666666667E-2</v>
      </c>
      <c r="C40" s="253">
        <v>3.2256944444444442E-2</v>
      </c>
      <c r="D40" s="253">
        <v>5.4479166666666669E-2</v>
      </c>
      <c r="E40" s="254">
        <v>6.582175925925926E-2</v>
      </c>
      <c r="F40" s="253">
        <v>0.11152777777777778</v>
      </c>
      <c r="G40" s="253">
        <v>0.2388888888888889</v>
      </c>
      <c r="I40">
        <v>78</v>
      </c>
      <c r="J40" s="253">
        <v>2.3252314814814816E-2</v>
      </c>
      <c r="K40" s="253">
        <v>3.5104166666666665E-2</v>
      </c>
      <c r="L40" s="253">
        <v>5.9305555555555556E-2</v>
      </c>
      <c r="M40" s="253">
        <v>7.165509259259259E-2</v>
      </c>
      <c r="N40" s="253">
        <v>0.12141203703703704</v>
      </c>
      <c r="O40" s="253">
        <v>0.26018518518518519</v>
      </c>
    </row>
    <row r="41" spans="1:15" ht="14.45">
      <c r="A41">
        <v>79</v>
      </c>
      <c r="B41" s="253">
        <v>2.1562499999999998E-2</v>
      </c>
      <c r="C41" s="253">
        <v>3.2569444444444443E-2</v>
      </c>
      <c r="D41" s="253">
        <v>5.5034722222222221E-2</v>
      </c>
      <c r="E41" s="254">
        <v>6.6493055555555555E-2</v>
      </c>
      <c r="F41" s="253">
        <v>0.11263888888888889</v>
      </c>
      <c r="G41" s="253">
        <v>0.2416898148148148</v>
      </c>
      <c r="I41">
        <v>79</v>
      </c>
      <c r="J41" s="253">
        <v>2.3483796296296298E-2</v>
      </c>
      <c r="K41" s="253">
        <v>3.546296296296296E-2</v>
      </c>
      <c r="L41" s="253">
        <v>5.9918981481481483E-2</v>
      </c>
      <c r="M41" s="253">
        <v>7.2407407407407406E-2</v>
      </c>
      <c r="N41" s="253">
        <v>0.12266203703703704</v>
      </c>
      <c r="O41" s="253">
        <v>0.26331018518518517</v>
      </c>
    </row>
    <row r="42" spans="1:15" ht="14.45">
      <c r="A42">
        <v>80</v>
      </c>
      <c r="B42" s="253">
        <v>2.1782407407407407E-2</v>
      </c>
      <c r="C42" s="253">
        <v>3.290509259259259E-2</v>
      </c>
      <c r="D42" s="253">
        <v>5.5625000000000001E-2</v>
      </c>
      <c r="E42" s="254">
        <v>6.7222222222222225E-2</v>
      </c>
      <c r="F42" s="253">
        <v>0.11384259259259259</v>
      </c>
      <c r="G42" s="253">
        <v>0.24472222222222223</v>
      </c>
      <c r="I42">
        <v>80</v>
      </c>
      <c r="J42" s="253">
        <v>2.3726851851851853E-2</v>
      </c>
      <c r="K42" s="253">
        <v>3.5844907407407409E-2</v>
      </c>
      <c r="L42" s="253">
        <v>6.0578703703703704E-2</v>
      </c>
      <c r="M42" s="253">
        <v>7.3217592592592598E-2</v>
      </c>
      <c r="N42" s="253">
        <v>0.12399305555555555</v>
      </c>
      <c r="O42" s="253">
        <v>0.26667824074074076</v>
      </c>
    </row>
    <row r="43" spans="1:15" ht="14.45">
      <c r="A43">
        <v>81</v>
      </c>
      <c r="B43" s="253">
        <v>2.2025462962962962E-2</v>
      </c>
      <c r="C43" s="253">
        <v>3.3275462962962965E-2</v>
      </c>
      <c r="D43" s="253">
        <v>5.6261574074074075E-2</v>
      </c>
      <c r="E43" s="254">
        <v>6.8009259259259255E-2</v>
      </c>
      <c r="F43" s="253">
        <v>0.11513888888888889</v>
      </c>
      <c r="G43" s="253">
        <v>0.24802083333333333</v>
      </c>
      <c r="I43">
        <v>81</v>
      </c>
      <c r="J43" s="253">
        <v>2.3993055555555556E-2</v>
      </c>
      <c r="K43" s="253">
        <v>3.6249999999999998E-2</v>
      </c>
      <c r="L43" s="253">
        <v>6.1296296296296293E-2</v>
      </c>
      <c r="M43" s="253">
        <v>7.408564814814815E-2</v>
      </c>
      <c r="N43" s="253">
        <v>0.12543981481481481</v>
      </c>
      <c r="O43" s="253">
        <v>0.27033564814814814</v>
      </c>
    </row>
    <row r="44" spans="1:15" ht="14.45">
      <c r="A44">
        <v>82</v>
      </c>
      <c r="B44" s="253">
        <v>2.2280092592592591E-2</v>
      </c>
      <c r="C44" s="253">
        <v>3.366898148148148E-2</v>
      </c>
      <c r="D44" s="253">
        <v>5.6956018518518517E-2</v>
      </c>
      <c r="E44" s="254">
        <v>6.8854166666666661E-2</v>
      </c>
      <c r="F44" s="253">
        <v>0.11653935185185185</v>
      </c>
      <c r="G44" s="253">
        <v>0.25159722222222225</v>
      </c>
      <c r="I44">
        <v>82</v>
      </c>
      <c r="J44" s="253">
        <v>2.4282407407407409E-2</v>
      </c>
      <c r="K44" s="253">
        <v>3.6689814814814814E-2</v>
      </c>
      <c r="L44" s="253">
        <v>6.2060185185185184E-2</v>
      </c>
      <c r="M44" s="253">
        <v>7.5034722222222225E-2</v>
      </c>
      <c r="N44" s="253">
        <v>0.12699074074074074</v>
      </c>
      <c r="O44" s="253">
        <v>0.27431712962962962</v>
      </c>
    </row>
    <row r="45" spans="1:15" ht="14.45">
      <c r="A45">
        <v>83</v>
      </c>
      <c r="B45" s="253">
        <v>2.255787037037037E-2</v>
      </c>
      <c r="C45" s="253">
        <v>3.4097222222222223E-2</v>
      </c>
      <c r="D45" s="253">
        <v>5.769675925925926E-2</v>
      </c>
      <c r="E45" s="254">
        <v>6.9780092592592588E-2</v>
      </c>
      <c r="F45" s="253">
        <v>0.11805555555555555</v>
      </c>
      <c r="G45" s="253">
        <v>0.25550925925925927</v>
      </c>
      <c r="I45">
        <v>83</v>
      </c>
      <c r="J45" s="253">
        <v>2.4583333333333332E-2</v>
      </c>
      <c r="K45" s="253">
        <v>3.7164351851851851E-2</v>
      </c>
      <c r="L45" s="253">
        <v>6.2893518518518515E-2</v>
      </c>
      <c r="M45" s="253">
        <v>7.6053240740740741E-2</v>
      </c>
      <c r="N45" s="253">
        <v>0.12866898148148148</v>
      </c>
      <c r="O45" s="253">
        <v>0.27865740740740741</v>
      </c>
    </row>
    <row r="46" spans="1:15" ht="14.45">
      <c r="A46">
        <v>84</v>
      </c>
      <c r="B46" s="253">
        <v>2.2858796296296297E-2</v>
      </c>
      <c r="C46" s="253">
        <v>3.4560185185185187E-2</v>
      </c>
      <c r="D46" s="253">
        <v>5.8506944444444445E-2</v>
      </c>
      <c r="E46" s="254">
        <v>7.0775462962962957E-2</v>
      </c>
      <c r="F46" s="253">
        <v>0.11969907407407407</v>
      </c>
      <c r="G46" s="253">
        <v>0.2597800925925926</v>
      </c>
      <c r="I46">
        <v>84</v>
      </c>
      <c r="J46" s="253">
        <v>2.4918981481481483E-2</v>
      </c>
      <c r="K46" s="253">
        <v>3.7673611111111109E-2</v>
      </c>
      <c r="L46" s="253">
        <v>6.3784722222222229E-2</v>
      </c>
      <c r="M46" s="253">
        <v>7.7164351851851845E-2</v>
      </c>
      <c r="N46" s="253">
        <v>0.13049768518518517</v>
      </c>
      <c r="O46" s="253">
        <v>0.28340277777777778</v>
      </c>
    </row>
    <row r="47" spans="1:15" ht="14.45">
      <c r="A47">
        <v>85</v>
      </c>
      <c r="B47" s="253">
        <v>2.3182870370370371E-2</v>
      </c>
      <c r="C47" s="253">
        <v>3.5057870370370371E-2</v>
      </c>
      <c r="D47" s="253">
        <v>5.9386574074074071E-2</v>
      </c>
      <c r="E47" s="254">
        <v>7.1851851851851847E-2</v>
      </c>
      <c r="F47" s="253">
        <v>0.12148148148148148</v>
      </c>
      <c r="G47" s="253">
        <v>0.26447916666666665</v>
      </c>
      <c r="I47">
        <v>85</v>
      </c>
      <c r="J47" s="253">
        <v>2.5277777777777777E-2</v>
      </c>
      <c r="K47" s="253">
        <v>3.8229166666666668E-2</v>
      </c>
      <c r="L47" s="253">
        <v>6.4768518518518517E-2</v>
      </c>
      <c r="M47" s="253">
        <v>7.8368055555555552E-2</v>
      </c>
      <c r="N47" s="253">
        <v>0.13247685185185185</v>
      </c>
      <c r="O47" s="253">
        <v>0.28862268518518519</v>
      </c>
    </row>
    <row r="48" spans="1:15" ht="14.45">
      <c r="A48">
        <v>86</v>
      </c>
      <c r="B48" s="253">
        <v>2.3541666666666666E-2</v>
      </c>
      <c r="C48" s="253">
        <v>3.560185185185185E-2</v>
      </c>
      <c r="D48" s="253">
        <v>6.0347222222222219E-2</v>
      </c>
      <c r="E48" s="254">
        <v>7.3043981481481488E-2</v>
      </c>
      <c r="F48" s="253">
        <v>0.12343750000000001</v>
      </c>
      <c r="G48" s="253">
        <v>0.26967592592592593</v>
      </c>
      <c r="I48">
        <v>86</v>
      </c>
      <c r="J48" s="253">
        <v>2.5671296296296296E-2</v>
      </c>
      <c r="K48" s="253">
        <v>3.8831018518518522E-2</v>
      </c>
      <c r="L48" s="253">
        <v>6.5833333333333327E-2</v>
      </c>
      <c r="M48" s="253">
        <v>7.9687499999999994E-2</v>
      </c>
      <c r="N48" s="253">
        <v>0.13464120370370369</v>
      </c>
      <c r="O48" s="253">
        <v>0.29438657407407409</v>
      </c>
    </row>
    <row r="49" spans="1:15" ht="14.45">
      <c r="A49">
        <v>87</v>
      </c>
      <c r="B49" s="253">
        <v>2.3923611111111111E-2</v>
      </c>
      <c r="C49" s="253">
        <v>3.6203703703703703E-2</v>
      </c>
      <c r="D49" s="253">
        <v>6.1400462962962962E-2</v>
      </c>
      <c r="E49" s="254">
        <v>7.4340277777777783E-2</v>
      </c>
      <c r="F49" s="253">
        <v>0.12556712962962963</v>
      </c>
      <c r="G49" s="253">
        <v>0.27542824074074074</v>
      </c>
      <c r="I49">
        <v>87</v>
      </c>
      <c r="J49" s="253">
        <v>2.6099537037037036E-2</v>
      </c>
      <c r="K49" s="253">
        <v>3.9502314814814816E-2</v>
      </c>
      <c r="L49" s="253">
        <v>6.700231481481482E-2</v>
      </c>
      <c r="M49" s="253">
        <v>8.1122685185185187E-2</v>
      </c>
      <c r="N49" s="253">
        <v>0.13701388888888888</v>
      </c>
      <c r="O49" s="253">
        <v>0.30077546296296298</v>
      </c>
    </row>
    <row r="50" spans="1:15" ht="14.45">
      <c r="A50">
        <v>88</v>
      </c>
      <c r="B50" s="253">
        <v>2.435185185185185E-2</v>
      </c>
      <c r="C50" s="253">
        <v>3.6851851851851851E-2</v>
      </c>
      <c r="D50" s="253">
        <v>6.2557870370370375E-2</v>
      </c>
      <c r="E50" s="254">
        <v>7.5775462962962961E-2</v>
      </c>
      <c r="F50" s="253">
        <v>0.12791666666666668</v>
      </c>
      <c r="G50" s="253">
        <v>0.28184027777777776</v>
      </c>
      <c r="I50">
        <v>88</v>
      </c>
      <c r="J50" s="253">
        <v>2.6574074074074073E-2</v>
      </c>
      <c r="K50" s="253">
        <v>4.0219907407407406E-2</v>
      </c>
      <c r="L50" s="253">
        <v>6.8287037037037035E-2</v>
      </c>
      <c r="M50" s="253">
        <v>8.2719907407407409E-2</v>
      </c>
      <c r="N50" s="253">
        <v>0.13961805555555556</v>
      </c>
      <c r="O50" s="253">
        <v>0.30790509259259258</v>
      </c>
    </row>
    <row r="51" spans="1:15" ht="14.45">
      <c r="A51">
        <v>89</v>
      </c>
      <c r="B51" s="253">
        <v>2.4814814814814814E-2</v>
      </c>
      <c r="C51" s="253">
        <v>3.7581018518518521E-2</v>
      </c>
      <c r="D51" s="253">
        <v>6.3831018518518523E-2</v>
      </c>
      <c r="E51" s="254">
        <v>7.7349537037037036E-2</v>
      </c>
      <c r="F51" s="253">
        <v>0.13050925925925927</v>
      </c>
      <c r="G51" s="253">
        <v>0.28905092592592591</v>
      </c>
      <c r="I51">
        <v>89</v>
      </c>
      <c r="J51" s="253">
        <v>2.7094907407407408E-2</v>
      </c>
      <c r="K51" s="253">
        <v>4.1018518518518517E-2</v>
      </c>
      <c r="L51" s="253">
        <v>6.9710648148148147E-2</v>
      </c>
      <c r="M51" s="253">
        <v>8.4467592592592594E-2</v>
      </c>
      <c r="N51" s="253">
        <v>0.14249999999999999</v>
      </c>
      <c r="O51" s="253">
        <v>0.31591435185185185</v>
      </c>
    </row>
    <row r="52" spans="1:15" ht="14.45">
      <c r="A52">
        <v>90</v>
      </c>
      <c r="B52" s="253">
        <v>2.5335648148148149E-2</v>
      </c>
      <c r="C52" s="253">
        <v>3.8368055555555558E-2</v>
      </c>
      <c r="D52" s="253">
        <v>6.5254629629629635E-2</v>
      </c>
      <c r="E52" s="254">
        <v>7.9108796296296302E-2</v>
      </c>
      <c r="F52" s="253">
        <v>0.13337962962962963</v>
      </c>
      <c r="G52" s="253">
        <v>0.29721064814814813</v>
      </c>
      <c r="I52">
        <v>90</v>
      </c>
      <c r="J52" s="253">
        <v>2.7662037037037037E-2</v>
      </c>
      <c r="K52" s="253">
        <v>4.1909722222222223E-2</v>
      </c>
      <c r="L52" s="253">
        <v>7.1284722222222222E-2</v>
      </c>
      <c r="M52" s="253">
        <v>8.6423611111111118E-2</v>
      </c>
      <c r="N52" s="253">
        <v>0.14569444444444443</v>
      </c>
      <c r="O52" s="253">
        <v>0.32497685185185188</v>
      </c>
    </row>
    <row r="53" spans="1:15">
      <c r="A53">
        <v>91</v>
      </c>
      <c r="B53" s="37"/>
      <c r="C53" s="37"/>
      <c r="D53" s="37"/>
      <c r="E53" s="37"/>
      <c r="F53" s="37"/>
      <c r="G53" s="37"/>
      <c r="I53">
        <v>91</v>
      </c>
      <c r="J53" s="90"/>
      <c r="K53" s="90"/>
      <c r="L53" s="90"/>
      <c r="M53" s="90"/>
      <c r="N53" s="90"/>
      <c r="O53" s="90"/>
    </row>
    <row r="54" spans="1:15">
      <c r="A54">
        <v>92</v>
      </c>
      <c r="B54" s="37"/>
      <c r="C54" s="37"/>
      <c r="D54" s="37"/>
      <c r="E54" s="37"/>
      <c r="F54" s="37"/>
      <c r="G54" s="37"/>
      <c r="I54">
        <v>92</v>
      </c>
      <c r="J54" s="90"/>
      <c r="K54" s="90"/>
      <c r="L54" s="90"/>
      <c r="M54" s="90"/>
      <c r="N54" s="90"/>
      <c r="O54" s="90"/>
    </row>
    <row r="55" spans="1:15">
      <c r="A55">
        <v>93</v>
      </c>
      <c r="B55" s="37"/>
      <c r="C55" s="37"/>
      <c r="D55" s="37"/>
      <c r="E55" s="37"/>
      <c r="F55" s="37"/>
      <c r="G55" s="37"/>
      <c r="I55">
        <v>93</v>
      </c>
      <c r="J55" s="90"/>
      <c r="K55" s="90"/>
      <c r="L55" s="90"/>
      <c r="M55" s="90"/>
      <c r="N55" s="90"/>
      <c r="O55" s="90"/>
    </row>
    <row r="56" spans="1:15">
      <c r="A56">
        <v>94</v>
      </c>
      <c r="B56" s="37"/>
      <c r="C56" s="37"/>
      <c r="D56" s="37"/>
      <c r="E56" s="37"/>
      <c r="F56" s="37"/>
      <c r="G56" s="38"/>
      <c r="I56">
        <v>94</v>
      </c>
      <c r="J56" s="90"/>
      <c r="K56" s="90"/>
      <c r="L56" s="90"/>
      <c r="M56" s="90"/>
      <c r="N56" s="90"/>
      <c r="O56" s="90"/>
    </row>
    <row r="57" spans="1:15">
      <c r="A57">
        <v>95</v>
      </c>
      <c r="B57" s="37"/>
      <c r="C57" s="37"/>
      <c r="D57" s="37"/>
      <c r="E57" s="37"/>
      <c r="F57" s="37"/>
      <c r="G57" s="38"/>
      <c r="I57">
        <v>95</v>
      </c>
      <c r="J57" s="90"/>
      <c r="K57" s="90"/>
      <c r="L57" s="90"/>
      <c r="M57" s="90"/>
      <c r="N57" s="90"/>
      <c r="O57" s="90"/>
    </row>
    <row r="58" spans="1:15">
      <c r="A58">
        <v>96</v>
      </c>
      <c r="B58" s="37"/>
      <c r="C58" s="37"/>
      <c r="D58" s="37"/>
      <c r="E58" s="37"/>
      <c r="F58" s="37"/>
      <c r="G58" s="38"/>
      <c r="I58">
        <v>96</v>
      </c>
      <c r="J58" s="90"/>
      <c r="K58" s="90"/>
      <c r="L58" s="90"/>
      <c r="M58" s="90"/>
      <c r="N58" s="90"/>
      <c r="O58" s="90"/>
    </row>
    <row r="59" spans="1:15">
      <c r="A59">
        <v>97</v>
      </c>
      <c r="B59" s="37"/>
      <c r="C59" s="37"/>
      <c r="D59" s="37"/>
      <c r="E59" s="37"/>
      <c r="F59" s="37"/>
      <c r="G59" s="38"/>
      <c r="I59">
        <v>97</v>
      </c>
      <c r="J59" s="90"/>
      <c r="K59" s="90"/>
      <c r="L59" s="90"/>
      <c r="M59" s="90"/>
      <c r="N59" s="90"/>
      <c r="O59" s="90"/>
    </row>
    <row r="60" spans="1:15">
      <c r="A60">
        <v>98</v>
      </c>
      <c r="B60" s="37"/>
      <c r="C60" s="37"/>
      <c r="D60" s="37"/>
      <c r="E60" s="37"/>
      <c r="F60" s="37"/>
      <c r="G60" s="38"/>
      <c r="I60">
        <v>98</v>
      </c>
      <c r="J60" s="90"/>
      <c r="K60" s="90"/>
      <c r="L60" s="90"/>
      <c r="M60" s="90"/>
      <c r="N60" s="90"/>
      <c r="O60" s="90"/>
    </row>
    <row r="61" spans="1:15">
      <c r="A61">
        <v>99</v>
      </c>
      <c r="B61" s="37"/>
      <c r="C61" s="37"/>
      <c r="D61" s="37"/>
      <c r="E61" s="37"/>
      <c r="F61" s="37"/>
      <c r="G61" s="38"/>
      <c r="I61">
        <v>99</v>
      </c>
      <c r="J61" s="90"/>
      <c r="K61" s="90"/>
      <c r="L61" s="90"/>
      <c r="M61" s="90"/>
      <c r="N61" s="90"/>
      <c r="O61" s="90"/>
    </row>
    <row r="62" spans="1:15">
      <c r="A62">
        <v>100</v>
      </c>
      <c r="B62" s="37"/>
      <c r="C62" s="37"/>
      <c r="D62" s="37"/>
      <c r="E62" s="37"/>
      <c r="F62" s="37"/>
      <c r="G62" s="38"/>
      <c r="I62">
        <v>100</v>
      </c>
      <c r="J62" s="90"/>
      <c r="K62" s="90"/>
      <c r="L62" s="90"/>
      <c r="M62" s="90"/>
      <c r="N62" s="90"/>
      <c r="O62" s="90"/>
    </row>
  </sheetData>
  <phoneticPr fontId="26"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FF00"/>
  </sheetPr>
  <dimension ref="A2:J221"/>
  <sheetViews>
    <sheetView topLeftCell="E1" workbookViewId="0">
      <selection activeCell="H5" sqref="H5"/>
    </sheetView>
  </sheetViews>
  <sheetFormatPr defaultRowHeight="13.15"/>
  <cols>
    <col min="1" max="1" width="7.28515625" hidden="1" customWidth="1"/>
    <col min="2" max="2" width="4" hidden="1" customWidth="1"/>
    <col min="3" max="3" width="7.28515625" hidden="1" customWidth="1"/>
    <col min="4" max="4" width="3.28515625" hidden="1" customWidth="1"/>
    <col min="5" max="5" width="4.28515625" customWidth="1"/>
    <col min="6" max="6" width="5.85546875" customWidth="1"/>
    <col min="7" max="7" width="16.140625" customWidth="1"/>
    <col min="9" max="9" width="18.5703125" customWidth="1"/>
    <col min="10" max="10" width="13" customWidth="1"/>
  </cols>
  <sheetData>
    <row r="2" spans="1:10">
      <c r="F2" t="str">
        <f>FacingSheet!B8</f>
        <v>Ronnie MacDonald 10 mile TT</v>
      </c>
      <c r="J2" s="33">
        <f>IF(ISERROR(FacingSheet!S9),"",FacingSheet!S9)</f>
        <v>45907</v>
      </c>
    </row>
    <row r="4" spans="1:10">
      <c r="A4" s="1" t="s">
        <v>79</v>
      </c>
      <c r="B4" s="1" t="s">
        <v>113</v>
      </c>
      <c r="E4" s="12" t="s">
        <v>113</v>
      </c>
      <c r="F4" s="30" t="s">
        <v>103</v>
      </c>
      <c r="G4" s="30" t="s">
        <v>41</v>
      </c>
      <c r="H4" s="30" t="s">
        <v>112</v>
      </c>
      <c r="I4" s="30" t="s">
        <v>98</v>
      </c>
      <c r="J4" s="30" t="s">
        <v>101</v>
      </c>
    </row>
    <row r="5" spans="1:10">
      <c r="A5" t="str">
        <f>IF(D5="","",RANK(D5,$D$5:$D$204,1))</f>
        <v/>
      </c>
      <c r="B5">
        <f>'Option 1'!D13</f>
        <v>1</v>
      </c>
      <c r="C5" s="37" t="str">
        <f>IF('Option 1'!AD13="","",'Option 1'!AD13)</f>
        <v/>
      </c>
      <c r="D5" t="str">
        <f>IF(C5="","",C5+(0.000000001*ROW()))</f>
        <v/>
      </c>
      <c r="E5" s="105" t="str">
        <f t="shared" ref="E5:E68" si="0">IF(ISNA(VLOOKUP(B5,BCFast,2,FALSE)),"",VLOOKUP(B5,BCFast,2,FALSE))</f>
        <v/>
      </c>
      <c r="F5" s="105">
        <v>1</v>
      </c>
      <c r="G5" t="str">
        <f t="shared" ref="G5:G68" si="1">IF(ISERROR(VLOOKUP($F5,Result,9,FALSE)=""),"",VLOOKUP($F5,Result,9,FALSE))</f>
        <v/>
      </c>
      <c r="H5" t="str">
        <f t="shared" ref="H5:H68" si="2">IF(ISERROR(VLOOKUP($F5,Result,6,FALSE)),"",VLOOKUP($F5,Result,6,FALSE))</f>
        <v/>
      </c>
      <c r="I5" t="str">
        <f t="shared" ref="I5:I68" si="3">IF(ISERROR(VLOOKUP($F5,Result,17,FALSE)),"",(VLOOKUP($F5,Result,17,FALSE)))</f>
        <v/>
      </c>
      <c r="J5" s="114" t="str">
        <f t="shared" ref="J5" si="4">IF(ISERROR(VLOOKUP(F5,Result,30,FALSE)),"",(VLOOKUP(F5,Result,30,FALSE)))</f>
        <v/>
      </c>
    </row>
    <row r="6" spans="1:10">
      <c r="A6" t="str">
        <f t="shared" ref="A6:A69" si="5">IF(D6="","",RANK(D6,$D$5:$D$204,1))</f>
        <v/>
      </c>
      <c r="B6">
        <f>'Option 1'!D14</f>
        <v>2</v>
      </c>
      <c r="C6" s="37" t="str">
        <f>IF('Option 1'!AD14="","",'Option 1'!AD14)</f>
        <v/>
      </c>
      <c r="D6" t="str">
        <f t="shared" ref="D6:D69" si="6">IF(C6="","",C6+(0.000000001*ROW()))</f>
        <v/>
      </c>
      <c r="E6" s="105" t="str">
        <f t="shared" si="0"/>
        <v/>
      </c>
      <c r="F6" s="105">
        <v>2</v>
      </c>
      <c r="G6" t="str">
        <f t="shared" si="1"/>
        <v/>
      </c>
      <c r="H6" t="str">
        <f t="shared" si="2"/>
        <v/>
      </c>
      <c r="I6" t="str">
        <f t="shared" si="3"/>
        <v/>
      </c>
      <c r="J6" s="114" t="str">
        <f t="shared" ref="J6:J69" si="7">IF(ISERROR(VLOOKUP(F6,Result,30,FALSE)),"",(VLOOKUP(F6,Result,30,FALSE)))</f>
        <v/>
      </c>
    </row>
    <row r="7" spans="1:10">
      <c r="A7" t="str">
        <f t="shared" si="5"/>
        <v/>
      </c>
      <c r="B7">
        <f>'Option 1'!D15</f>
        <v>3</v>
      </c>
      <c r="C7" s="37" t="str">
        <f>IF('Option 1'!AD15="","",'Option 1'!AD15)</f>
        <v/>
      </c>
      <c r="D7" t="str">
        <f t="shared" si="6"/>
        <v/>
      </c>
      <c r="E7" s="105" t="str">
        <f t="shared" si="0"/>
        <v/>
      </c>
      <c r="F7" s="105">
        <v>3</v>
      </c>
      <c r="G7" t="str">
        <f t="shared" si="1"/>
        <v/>
      </c>
      <c r="H7" t="str">
        <f t="shared" si="2"/>
        <v/>
      </c>
      <c r="I7" t="str">
        <f t="shared" si="3"/>
        <v/>
      </c>
      <c r="J7" s="114" t="str">
        <f t="shared" si="7"/>
        <v/>
      </c>
    </row>
    <row r="8" spans="1:10">
      <c r="A8" t="str">
        <f t="shared" si="5"/>
        <v/>
      </c>
      <c r="B8">
        <f>'Option 1'!D16</f>
        <v>4</v>
      </c>
      <c r="C8" s="37" t="str">
        <f>IF('Option 1'!AD16="","",'Option 1'!AD16)</f>
        <v/>
      </c>
      <c r="D8" t="str">
        <f t="shared" si="6"/>
        <v/>
      </c>
      <c r="E8" s="105" t="str">
        <f t="shared" si="0"/>
        <v/>
      </c>
      <c r="F8" s="105">
        <v>4</v>
      </c>
      <c r="G8" t="str">
        <f t="shared" si="1"/>
        <v/>
      </c>
      <c r="H8" t="str">
        <f t="shared" si="2"/>
        <v/>
      </c>
      <c r="I8" t="str">
        <f t="shared" si="3"/>
        <v/>
      </c>
      <c r="J8" s="114" t="str">
        <f t="shared" si="7"/>
        <v/>
      </c>
    </row>
    <row r="9" spans="1:10">
      <c r="A9" t="str">
        <f t="shared" si="5"/>
        <v/>
      </c>
      <c r="B9">
        <f>'Option 1'!D17</f>
        <v>5</v>
      </c>
      <c r="C9" s="37" t="str">
        <f>IF('Option 1'!AD17="","",'Option 1'!AD17)</f>
        <v/>
      </c>
      <c r="D9" t="str">
        <f t="shared" si="6"/>
        <v/>
      </c>
      <c r="E9" s="105" t="str">
        <f t="shared" si="0"/>
        <v/>
      </c>
      <c r="F9" s="105">
        <v>5</v>
      </c>
      <c r="G9" t="str">
        <f t="shared" si="1"/>
        <v/>
      </c>
      <c r="H9" t="str">
        <f t="shared" si="2"/>
        <v/>
      </c>
      <c r="I9" t="str">
        <f t="shared" si="3"/>
        <v/>
      </c>
      <c r="J9" s="114" t="str">
        <f t="shared" si="7"/>
        <v/>
      </c>
    </row>
    <row r="10" spans="1:10">
      <c r="A10" t="str">
        <f t="shared" si="5"/>
        <v/>
      </c>
      <c r="B10">
        <f>'Option 1'!D18</f>
        <v>6</v>
      </c>
      <c r="C10" s="37" t="str">
        <f>IF('Option 1'!AD18="","",'Option 1'!AD18)</f>
        <v/>
      </c>
      <c r="D10" t="str">
        <f t="shared" si="6"/>
        <v/>
      </c>
      <c r="E10" s="105" t="str">
        <f t="shared" si="0"/>
        <v/>
      </c>
      <c r="F10" s="105">
        <v>6</v>
      </c>
      <c r="G10" t="str">
        <f t="shared" si="1"/>
        <v/>
      </c>
      <c r="H10" t="str">
        <f t="shared" si="2"/>
        <v/>
      </c>
      <c r="I10" t="str">
        <f t="shared" si="3"/>
        <v/>
      </c>
      <c r="J10" s="114" t="str">
        <f t="shared" si="7"/>
        <v/>
      </c>
    </row>
    <row r="11" spans="1:10">
      <c r="A11" t="str">
        <f t="shared" si="5"/>
        <v/>
      </c>
      <c r="B11">
        <f>'Option 1'!D19</f>
        <v>7</v>
      </c>
      <c r="C11" s="37" t="str">
        <f>IF('Option 1'!AD19="","",'Option 1'!AD19)</f>
        <v/>
      </c>
      <c r="D11" t="str">
        <f t="shared" si="6"/>
        <v/>
      </c>
      <c r="E11" s="105" t="str">
        <f t="shared" si="0"/>
        <v/>
      </c>
      <c r="F11" s="105">
        <v>7</v>
      </c>
      <c r="G11" t="str">
        <f t="shared" si="1"/>
        <v/>
      </c>
      <c r="H11" t="str">
        <f t="shared" si="2"/>
        <v/>
      </c>
      <c r="I11" t="str">
        <f t="shared" si="3"/>
        <v/>
      </c>
      <c r="J11" s="114" t="str">
        <f t="shared" si="7"/>
        <v/>
      </c>
    </row>
    <row r="12" spans="1:10">
      <c r="A12" t="str">
        <f t="shared" si="5"/>
        <v/>
      </c>
      <c r="B12">
        <f>'Option 1'!D20</f>
        <v>8</v>
      </c>
      <c r="C12" s="37" t="str">
        <f>IF('Option 1'!AD20="","",'Option 1'!AD20)</f>
        <v/>
      </c>
      <c r="D12" t="str">
        <f t="shared" si="6"/>
        <v/>
      </c>
      <c r="E12" s="105" t="str">
        <f t="shared" si="0"/>
        <v/>
      </c>
      <c r="F12" s="105">
        <v>8</v>
      </c>
      <c r="G12" t="str">
        <f t="shared" si="1"/>
        <v/>
      </c>
      <c r="H12" t="str">
        <f t="shared" si="2"/>
        <v/>
      </c>
      <c r="I12" t="str">
        <f t="shared" si="3"/>
        <v/>
      </c>
      <c r="J12" s="114" t="str">
        <f t="shared" si="7"/>
        <v/>
      </c>
    </row>
    <row r="13" spans="1:10">
      <c r="A13" t="str">
        <f t="shared" si="5"/>
        <v/>
      </c>
      <c r="B13">
        <f>'Option 1'!D21</f>
        <v>9</v>
      </c>
      <c r="C13" s="37" t="str">
        <f>IF('Option 1'!AD21="","",'Option 1'!AD21)</f>
        <v/>
      </c>
      <c r="D13" t="str">
        <f t="shared" si="6"/>
        <v/>
      </c>
      <c r="E13" s="105" t="str">
        <f t="shared" si="0"/>
        <v/>
      </c>
      <c r="F13" s="105">
        <v>9</v>
      </c>
      <c r="G13" t="str">
        <f t="shared" si="1"/>
        <v/>
      </c>
      <c r="H13" t="str">
        <f t="shared" si="2"/>
        <v/>
      </c>
      <c r="I13" t="str">
        <f t="shared" si="3"/>
        <v/>
      </c>
      <c r="J13" s="114" t="str">
        <f t="shared" si="7"/>
        <v/>
      </c>
    </row>
    <row r="14" spans="1:10">
      <c r="A14" t="str">
        <f t="shared" si="5"/>
        <v/>
      </c>
      <c r="B14">
        <f>'Option 1'!D22</f>
        <v>10</v>
      </c>
      <c r="C14" s="37" t="str">
        <f>IF('Option 1'!AD22="","",'Option 1'!AD22)</f>
        <v/>
      </c>
      <c r="D14" t="str">
        <f t="shared" si="6"/>
        <v/>
      </c>
      <c r="E14" s="105" t="str">
        <f t="shared" si="0"/>
        <v/>
      </c>
      <c r="F14" s="105">
        <v>10</v>
      </c>
      <c r="G14" t="str">
        <f t="shared" si="1"/>
        <v/>
      </c>
      <c r="H14" t="str">
        <f t="shared" si="2"/>
        <v/>
      </c>
      <c r="I14" t="str">
        <f t="shared" si="3"/>
        <v/>
      </c>
      <c r="J14" s="114" t="str">
        <f t="shared" si="7"/>
        <v/>
      </c>
    </row>
    <row r="15" spans="1:10">
      <c r="A15" t="str">
        <f t="shared" si="5"/>
        <v/>
      </c>
      <c r="B15">
        <f>'Option 1'!D23</f>
        <v>11</v>
      </c>
      <c r="C15" s="37" t="str">
        <f>IF('Option 1'!AD23="","",'Option 1'!AD23)</f>
        <v/>
      </c>
      <c r="D15" t="str">
        <f t="shared" si="6"/>
        <v/>
      </c>
      <c r="E15" s="105" t="str">
        <f t="shared" si="0"/>
        <v/>
      </c>
      <c r="F15" s="105">
        <v>11</v>
      </c>
      <c r="G15" t="str">
        <f t="shared" si="1"/>
        <v/>
      </c>
      <c r="H15" t="str">
        <f t="shared" si="2"/>
        <v/>
      </c>
      <c r="I15" t="str">
        <f t="shared" si="3"/>
        <v/>
      </c>
      <c r="J15" s="114" t="str">
        <f t="shared" si="7"/>
        <v/>
      </c>
    </row>
    <row r="16" spans="1:10">
      <c r="A16" t="str">
        <f t="shared" si="5"/>
        <v/>
      </c>
      <c r="B16">
        <f>'Option 1'!D24</f>
        <v>12</v>
      </c>
      <c r="C16" s="37" t="str">
        <f>IF('Option 1'!AD24="","",'Option 1'!AD24)</f>
        <v/>
      </c>
      <c r="D16" t="str">
        <f t="shared" si="6"/>
        <v/>
      </c>
      <c r="E16" s="105" t="str">
        <f t="shared" si="0"/>
        <v/>
      </c>
      <c r="F16" s="105">
        <v>12</v>
      </c>
      <c r="G16" t="str">
        <f t="shared" si="1"/>
        <v/>
      </c>
      <c r="H16" t="str">
        <f t="shared" si="2"/>
        <v/>
      </c>
      <c r="I16" t="str">
        <f t="shared" si="3"/>
        <v/>
      </c>
      <c r="J16" s="114" t="str">
        <f t="shared" si="7"/>
        <v/>
      </c>
    </row>
    <row r="17" spans="1:10">
      <c r="A17" t="str">
        <f t="shared" si="5"/>
        <v/>
      </c>
      <c r="B17">
        <f>'Option 1'!D25</f>
        <v>13</v>
      </c>
      <c r="C17" s="37" t="str">
        <f>IF('Option 1'!AD25="","",'Option 1'!AD25)</f>
        <v/>
      </c>
      <c r="D17" t="str">
        <f t="shared" si="6"/>
        <v/>
      </c>
      <c r="E17" s="105" t="str">
        <f t="shared" si="0"/>
        <v/>
      </c>
      <c r="F17" s="105">
        <v>13</v>
      </c>
      <c r="G17" t="str">
        <f t="shared" si="1"/>
        <v/>
      </c>
      <c r="H17" t="str">
        <f t="shared" si="2"/>
        <v/>
      </c>
      <c r="I17" t="str">
        <f t="shared" si="3"/>
        <v/>
      </c>
      <c r="J17" s="114" t="str">
        <f t="shared" si="7"/>
        <v/>
      </c>
    </row>
    <row r="18" spans="1:10">
      <c r="A18" t="str">
        <f t="shared" si="5"/>
        <v/>
      </c>
      <c r="B18">
        <f>'Option 1'!D26</f>
        <v>14</v>
      </c>
      <c r="C18" s="37" t="str">
        <f>IF('Option 1'!AD26="","",'Option 1'!AD26)</f>
        <v/>
      </c>
      <c r="D18" t="str">
        <f t="shared" si="6"/>
        <v/>
      </c>
      <c r="E18" s="105" t="str">
        <f t="shared" si="0"/>
        <v/>
      </c>
      <c r="F18" s="105">
        <v>14</v>
      </c>
      <c r="G18" t="str">
        <f t="shared" si="1"/>
        <v/>
      </c>
      <c r="H18" t="str">
        <f t="shared" si="2"/>
        <v/>
      </c>
      <c r="I18" t="str">
        <f t="shared" si="3"/>
        <v/>
      </c>
      <c r="J18" s="114" t="str">
        <f t="shared" si="7"/>
        <v/>
      </c>
    </row>
    <row r="19" spans="1:10">
      <c r="A19" t="str">
        <f t="shared" si="5"/>
        <v/>
      </c>
      <c r="B19">
        <f>'Option 1'!D27</f>
        <v>15</v>
      </c>
      <c r="C19" s="37" t="str">
        <f>IF('Option 1'!AD27="","",'Option 1'!AD27)</f>
        <v/>
      </c>
      <c r="D19" t="str">
        <f t="shared" si="6"/>
        <v/>
      </c>
      <c r="E19" s="105" t="str">
        <f t="shared" si="0"/>
        <v/>
      </c>
      <c r="F19" s="105">
        <v>15</v>
      </c>
      <c r="G19" t="str">
        <f t="shared" si="1"/>
        <v/>
      </c>
      <c r="H19" t="str">
        <f t="shared" si="2"/>
        <v/>
      </c>
      <c r="I19" t="str">
        <f t="shared" si="3"/>
        <v/>
      </c>
      <c r="J19" s="114" t="str">
        <f t="shared" si="7"/>
        <v/>
      </c>
    </row>
    <row r="20" spans="1:10">
      <c r="A20" t="str">
        <f t="shared" si="5"/>
        <v/>
      </c>
      <c r="B20">
        <f>'Option 1'!D28</f>
        <v>16</v>
      </c>
      <c r="C20" s="37" t="str">
        <f>IF('Option 1'!AD28="","",'Option 1'!AD28)</f>
        <v/>
      </c>
      <c r="D20" t="str">
        <f t="shared" si="6"/>
        <v/>
      </c>
      <c r="E20" s="105" t="str">
        <f t="shared" si="0"/>
        <v/>
      </c>
      <c r="F20" s="105">
        <v>16</v>
      </c>
      <c r="G20" t="str">
        <f t="shared" si="1"/>
        <v/>
      </c>
      <c r="H20" t="str">
        <f t="shared" si="2"/>
        <v/>
      </c>
      <c r="I20" t="str">
        <f t="shared" si="3"/>
        <v/>
      </c>
      <c r="J20" s="114" t="str">
        <f t="shared" si="7"/>
        <v/>
      </c>
    </row>
    <row r="21" spans="1:10">
      <c r="A21" t="str">
        <f t="shared" si="5"/>
        <v/>
      </c>
      <c r="B21">
        <f>'Option 1'!D29</f>
        <v>17</v>
      </c>
      <c r="C21" s="37" t="str">
        <f>IF('Option 1'!AD29="","",'Option 1'!AD29)</f>
        <v/>
      </c>
      <c r="D21" t="str">
        <f t="shared" si="6"/>
        <v/>
      </c>
      <c r="E21" s="105" t="str">
        <f t="shared" si="0"/>
        <v/>
      </c>
      <c r="F21" s="105">
        <v>17</v>
      </c>
      <c r="G21" t="str">
        <f t="shared" si="1"/>
        <v/>
      </c>
      <c r="H21" t="str">
        <f t="shared" si="2"/>
        <v/>
      </c>
      <c r="I21" t="str">
        <f t="shared" si="3"/>
        <v/>
      </c>
      <c r="J21" s="114" t="str">
        <f t="shared" si="7"/>
        <v/>
      </c>
    </row>
    <row r="22" spans="1:10">
      <c r="A22" t="str">
        <f t="shared" si="5"/>
        <v/>
      </c>
      <c r="B22">
        <f>'Option 1'!D30</f>
        <v>18</v>
      </c>
      <c r="C22" s="37" t="str">
        <f>IF('Option 1'!AD30="","",'Option 1'!AD30)</f>
        <v/>
      </c>
      <c r="D22" t="str">
        <f t="shared" si="6"/>
        <v/>
      </c>
      <c r="E22" s="105" t="str">
        <f t="shared" si="0"/>
        <v/>
      </c>
      <c r="F22" s="105">
        <v>18</v>
      </c>
      <c r="G22" t="str">
        <f t="shared" si="1"/>
        <v/>
      </c>
      <c r="H22" t="str">
        <f t="shared" si="2"/>
        <v/>
      </c>
      <c r="I22" t="str">
        <f t="shared" si="3"/>
        <v/>
      </c>
      <c r="J22" s="114" t="str">
        <f t="shared" si="7"/>
        <v/>
      </c>
    </row>
    <row r="23" spans="1:10">
      <c r="A23" t="str">
        <f t="shared" si="5"/>
        <v/>
      </c>
      <c r="B23">
        <f>'Option 1'!D31</f>
        <v>19</v>
      </c>
      <c r="C23" s="115" t="str">
        <f>IF('Option 1'!AD31="","",'Option 1'!AD31)</f>
        <v/>
      </c>
      <c r="D23" t="str">
        <f t="shared" si="6"/>
        <v/>
      </c>
      <c r="E23" s="105" t="str">
        <f t="shared" si="0"/>
        <v/>
      </c>
      <c r="F23" s="106">
        <v>19</v>
      </c>
      <c r="G23" t="str">
        <f t="shared" si="1"/>
        <v/>
      </c>
      <c r="H23" t="str">
        <f t="shared" si="2"/>
        <v/>
      </c>
      <c r="I23" t="str">
        <f t="shared" si="3"/>
        <v/>
      </c>
      <c r="J23" s="114" t="str">
        <f t="shared" si="7"/>
        <v/>
      </c>
    </row>
    <row r="24" spans="1:10">
      <c r="A24" t="str">
        <f t="shared" si="5"/>
        <v/>
      </c>
      <c r="B24">
        <f>'Option 1'!D32</f>
        <v>20</v>
      </c>
      <c r="C24" s="37" t="str">
        <f>IF('Option 1'!AD32="","",'Option 1'!AD32)</f>
        <v/>
      </c>
      <c r="D24" t="str">
        <f t="shared" si="6"/>
        <v/>
      </c>
      <c r="E24" s="105" t="str">
        <f t="shared" si="0"/>
        <v/>
      </c>
      <c r="F24" s="105">
        <v>20</v>
      </c>
      <c r="G24" t="str">
        <f t="shared" si="1"/>
        <v/>
      </c>
      <c r="H24" t="str">
        <f t="shared" si="2"/>
        <v/>
      </c>
      <c r="I24" t="str">
        <f t="shared" si="3"/>
        <v/>
      </c>
      <c r="J24" s="114" t="str">
        <f t="shared" si="7"/>
        <v/>
      </c>
    </row>
    <row r="25" spans="1:10">
      <c r="A25" t="str">
        <f t="shared" si="5"/>
        <v/>
      </c>
      <c r="B25">
        <f>'Option 1'!D33</f>
        <v>21</v>
      </c>
      <c r="C25" s="37" t="str">
        <f>IF('Option 1'!AD33="","",'Option 1'!AD33)</f>
        <v/>
      </c>
      <c r="D25" t="str">
        <f t="shared" si="6"/>
        <v/>
      </c>
      <c r="E25" s="105" t="str">
        <f t="shared" si="0"/>
        <v/>
      </c>
      <c r="F25" s="105">
        <v>21</v>
      </c>
      <c r="G25" t="str">
        <f t="shared" si="1"/>
        <v/>
      </c>
      <c r="H25" t="str">
        <f t="shared" si="2"/>
        <v/>
      </c>
      <c r="I25" t="str">
        <f t="shared" si="3"/>
        <v/>
      </c>
      <c r="J25" s="114" t="str">
        <f t="shared" si="7"/>
        <v/>
      </c>
    </row>
    <row r="26" spans="1:10">
      <c r="A26" t="str">
        <f t="shared" si="5"/>
        <v/>
      </c>
      <c r="B26">
        <f>'Option 1'!D34</f>
        <v>22</v>
      </c>
      <c r="C26" s="37" t="str">
        <f>IF('Option 1'!AD34="","",'Option 1'!AD34)</f>
        <v/>
      </c>
      <c r="D26" t="str">
        <f t="shared" si="6"/>
        <v/>
      </c>
      <c r="E26" s="105" t="str">
        <f t="shared" si="0"/>
        <v/>
      </c>
      <c r="F26" s="105">
        <v>22</v>
      </c>
      <c r="G26" t="str">
        <f t="shared" si="1"/>
        <v/>
      </c>
      <c r="H26" t="str">
        <f t="shared" si="2"/>
        <v/>
      </c>
      <c r="I26" t="str">
        <f t="shared" si="3"/>
        <v/>
      </c>
      <c r="J26" s="114" t="str">
        <f t="shared" si="7"/>
        <v/>
      </c>
    </row>
    <row r="27" spans="1:10">
      <c r="A27" t="str">
        <f t="shared" si="5"/>
        <v/>
      </c>
      <c r="B27">
        <f>'Option 1'!D35</f>
        <v>23</v>
      </c>
      <c r="C27" s="37" t="str">
        <f>IF('Option 1'!AD35="","",'Option 1'!AD35)</f>
        <v/>
      </c>
      <c r="D27" t="str">
        <f t="shared" si="6"/>
        <v/>
      </c>
      <c r="E27" s="105" t="str">
        <f t="shared" si="0"/>
        <v/>
      </c>
      <c r="F27" s="105">
        <v>23</v>
      </c>
      <c r="G27" t="str">
        <f t="shared" si="1"/>
        <v/>
      </c>
      <c r="H27" t="str">
        <f t="shared" si="2"/>
        <v/>
      </c>
      <c r="I27" t="str">
        <f t="shared" si="3"/>
        <v/>
      </c>
      <c r="J27" s="114" t="str">
        <f t="shared" si="7"/>
        <v/>
      </c>
    </row>
    <row r="28" spans="1:10">
      <c r="A28" t="str">
        <f t="shared" si="5"/>
        <v/>
      </c>
      <c r="B28">
        <f>'Option 1'!D36</f>
        <v>24</v>
      </c>
      <c r="C28" s="37" t="str">
        <f>IF('Option 1'!AD36="","",'Option 1'!AD36)</f>
        <v/>
      </c>
      <c r="D28" t="str">
        <f t="shared" si="6"/>
        <v/>
      </c>
      <c r="E28" s="105" t="str">
        <f t="shared" si="0"/>
        <v/>
      </c>
      <c r="F28" s="105">
        <v>24</v>
      </c>
      <c r="G28" t="str">
        <f t="shared" si="1"/>
        <v/>
      </c>
      <c r="H28" t="str">
        <f t="shared" si="2"/>
        <v/>
      </c>
      <c r="I28" t="str">
        <f t="shared" si="3"/>
        <v/>
      </c>
      <c r="J28" s="114" t="str">
        <f t="shared" si="7"/>
        <v/>
      </c>
    </row>
    <row r="29" spans="1:10">
      <c r="A29" t="str">
        <f t="shared" si="5"/>
        <v/>
      </c>
      <c r="B29">
        <f>'Option 1'!D37</f>
        <v>25</v>
      </c>
      <c r="C29" s="37" t="str">
        <f>IF('Option 1'!AD37="","",'Option 1'!AD37)</f>
        <v/>
      </c>
      <c r="D29" t="str">
        <f t="shared" si="6"/>
        <v/>
      </c>
      <c r="E29" s="105" t="str">
        <f t="shared" si="0"/>
        <v/>
      </c>
      <c r="F29" s="105">
        <v>25</v>
      </c>
      <c r="G29" t="str">
        <f t="shared" si="1"/>
        <v/>
      </c>
      <c r="H29" t="str">
        <f t="shared" si="2"/>
        <v/>
      </c>
      <c r="I29" t="str">
        <f t="shared" si="3"/>
        <v/>
      </c>
      <c r="J29" s="114" t="str">
        <f t="shared" si="7"/>
        <v/>
      </c>
    </row>
    <row r="30" spans="1:10">
      <c r="A30" t="str">
        <f t="shared" si="5"/>
        <v/>
      </c>
      <c r="B30">
        <f>'Option 1'!D38</f>
        <v>26</v>
      </c>
      <c r="C30" s="37" t="str">
        <f>IF('Option 1'!AD38="","",'Option 1'!AD38)</f>
        <v/>
      </c>
      <c r="D30" t="str">
        <f t="shared" si="6"/>
        <v/>
      </c>
      <c r="E30" s="105" t="str">
        <f t="shared" si="0"/>
        <v/>
      </c>
      <c r="F30" s="105">
        <v>26</v>
      </c>
      <c r="G30" t="str">
        <f t="shared" si="1"/>
        <v/>
      </c>
      <c r="H30" t="str">
        <f t="shared" si="2"/>
        <v/>
      </c>
      <c r="I30" t="str">
        <f t="shared" si="3"/>
        <v/>
      </c>
      <c r="J30" s="114" t="str">
        <f t="shared" si="7"/>
        <v/>
      </c>
    </row>
    <row r="31" spans="1:10">
      <c r="A31" t="str">
        <f t="shared" si="5"/>
        <v/>
      </c>
      <c r="B31">
        <f>'Option 1'!D39</f>
        <v>27</v>
      </c>
      <c r="C31" s="37" t="str">
        <f>IF('Option 1'!AD39="","",'Option 1'!AD39)</f>
        <v/>
      </c>
      <c r="D31" t="str">
        <f t="shared" si="6"/>
        <v/>
      </c>
      <c r="E31" s="105" t="str">
        <f t="shared" si="0"/>
        <v/>
      </c>
      <c r="F31" s="105">
        <v>27</v>
      </c>
      <c r="G31" t="str">
        <f t="shared" si="1"/>
        <v/>
      </c>
      <c r="H31" t="str">
        <f t="shared" si="2"/>
        <v/>
      </c>
      <c r="I31" t="str">
        <f t="shared" si="3"/>
        <v/>
      </c>
      <c r="J31" s="114" t="str">
        <f t="shared" si="7"/>
        <v/>
      </c>
    </row>
    <row r="32" spans="1:10">
      <c r="A32" t="str">
        <f t="shared" si="5"/>
        <v/>
      </c>
      <c r="B32">
        <f>'Option 1'!D40</f>
        <v>28</v>
      </c>
      <c r="C32" s="37" t="str">
        <f>IF('Option 1'!AD40="","",'Option 1'!AD40)</f>
        <v/>
      </c>
      <c r="D32" t="str">
        <f t="shared" si="6"/>
        <v/>
      </c>
      <c r="E32" s="105" t="str">
        <f t="shared" si="0"/>
        <v/>
      </c>
      <c r="F32" s="105">
        <v>28</v>
      </c>
      <c r="G32" t="str">
        <f t="shared" si="1"/>
        <v/>
      </c>
      <c r="H32" t="str">
        <f t="shared" si="2"/>
        <v/>
      </c>
      <c r="I32" t="str">
        <f t="shared" si="3"/>
        <v/>
      </c>
      <c r="J32" s="114" t="str">
        <f t="shared" si="7"/>
        <v/>
      </c>
    </row>
    <row r="33" spans="1:10">
      <c r="A33" t="str">
        <f t="shared" si="5"/>
        <v/>
      </c>
      <c r="B33">
        <f>'Option 1'!D41</f>
        <v>29</v>
      </c>
      <c r="C33" s="37" t="str">
        <f>IF('Option 1'!AD41="","",'Option 1'!AD41)</f>
        <v/>
      </c>
      <c r="D33" t="str">
        <f t="shared" si="6"/>
        <v/>
      </c>
      <c r="E33" s="105" t="str">
        <f t="shared" si="0"/>
        <v/>
      </c>
      <c r="F33" s="105">
        <v>29</v>
      </c>
      <c r="G33" t="str">
        <f t="shared" si="1"/>
        <v/>
      </c>
      <c r="H33" t="str">
        <f t="shared" si="2"/>
        <v/>
      </c>
      <c r="I33" t="str">
        <f t="shared" si="3"/>
        <v/>
      </c>
      <c r="J33" s="114" t="str">
        <f t="shared" si="7"/>
        <v/>
      </c>
    </row>
    <row r="34" spans="1:10">
      <c r="A34" t="str">
        <f t="shared" si="5"/>
        <v/>
      </c>
      <c r="B34">
        <f>'Option 1'!D42</f>
        <v>30</v>
      </c>
      <c r="C34" s="37" t="str">
        <f>IF('Option 1'!AD42="","",'Option 1'!AD42)</f>
        <v/>
      </c>
      <c r="D34" t="str">
        <f t="shared" si="6"/>
        <v/>
      </c>
      <c r="E34" s="105" t="str">
        <f t="shared" si="0"/>
        <v/>
      </c>
      <c r="F34" s="105">
        <v>30</v>
      </c>
      <c r="G34" t="str">
        <f t="shared" si="1"/>
        <v/>
      </c>
      <c r="H34" t="str">
        <f t="shared" si="2"/>
        <v/>
      </c>
      <c r="I34" t="str">
        <f t="shared" si="3"/>
        <v/>
      </c>
      <c r="J34" s="114" t="str">
        <f t="shared" si="7"/>
        <v/>
      </c>
    </row>
    <row r="35" spans="1:10">
      <c r="A35" t="str">
        <f t="shared" si="5"/>
        <v/>
      </c>
      <c r="B35">
        <f>'Option 1'!D43</f>
        <v>31</v>
      </c>
      <c r="C35" s="37" t="str">
        <f>IF('Option 1'!AD43="","",'Option 1'!AD43)</f>
        <v/>
      </c>
      <c r="D35" t="str">
        <f t="shared" si="6"/>
        <v/>
      </c>
      <c r="E35" s="105" t="str">
        <f t="shared" si="0"/>
        <v/>
      </c>
      <c r="F35" s="105">
        <v>31</v>
      </c>
      <c r="G35" t="str">
        <f t="shared" si="1"/>
        <v/>
      </c>
      <c r="H35" t="str">
        <f t="shared" si="2"/>
        <v/>
      </c>
      <c r="I35" t="str">
        <f t="shared" si="3"/>
        <v/>
      </c>
      <c r="J35" s="114" t="str">
        <f t="shared" si="7"/>
        <v/>
      </c>
    </row>
    <row r="36" spans="1:10">
      <c r="A36" t="str">
        <f t="shared" si="5"/>
        <v/>
      </c>
      <c r="B36">
        <f>'Option 1'!D44</f>
        <v>32</v>
      </c>
      <c r="C36" s="37" t="str">
        <f>IF('Option 1'!AD44="","",'Option 1'!AD44)</f>
        <v/>
      </c>
      <c r="D36" t="str">
        <f t="shared" si="6"/>
        <v/>
      </c>
      <c r="E36" s="105" t="str">
        <f t="shared" si="0"/>
        <v/>
      </c>
      <c r="F36" s="105">
        <v>32</v>
      </c>
      <c r="G36" t="str">
        <f t="shared" si="1"/>
        <v/>
      </c>
      <c r="H36" t="str">
        <f t="shared" si="2"/>
        <v/>
      </c>
      <c r="I36" t="str">
        <f t="shared" si="3"/>
        <v/>
      </c>
      <c r="J36" s="114" t="str">
        <f t="shared" si="7"/>
        <v/>
      </c>
    </row>
    <row r="37" spans="1:10">
      <c r="A37" t="str">
        <f t="shared" si="5"/>
        <v/>
      </c>
      <c r="B37">
        <f>'Option 1'!D45</f>
        <v>33</v>
      </c>
      <c r="C37" s="37" t="str">
        <f>IF('Option 1'!AD45="","",'Option 1'!AD45)</f>
        <v/>
      </c>
      <c r="D37" t="str">
        <f t="shared" si="6"/>
        <v/>
      </c>
      <c r="E37" s="105" t="str">
        <f t="shared" si="0"/>
        <v/>
      </c>
      <c r="F37" s="105">
        <v>33</v>
      </c>
      <c r="G37" t="str">
        <f t="shared" si="1"/>
        <v/>
      </c>
      <c r="H37" t="str">
        <f t="shared" si="2"/>
        <v/>
      </c>
      <c r="I37" t="str">
        <f t="shared" si="3"/>
        <v/>
      </c>
      <c r="J37" s="114" t="str">
        <f t="shared" si="7"/>
        <v/>
      </c>
    </row>
    <row r="38" spans="1:10">
      <c r="A38" t="str">
        <f t="shared" si="5"/>
        <v/>
      </c>
      <c r="B38">
        <f>'Option 1'!D46</f>
        <v>34</v>
      </c>
      <c r="C38" s="37" t="str">
        <f>IF('Option 1'!AD46="","",'Option 1'!AD46)</f>
        <v/>
      </c>
      <c r="D38" t="str">
        <f t="shared" si="6"/>
        <v/>
      </c>
      <c r="E38" s="105" t="str">
        <f t="shared" si="0"/>
        <v/>
      </c>
      <c r="F38" s="105">
        <v>34</v>
      </c>
      <c r="G38" t="str">
        <f t="shared" si="1"/>
        <v/>
      </c>
      <c r="H38" t="str">
        <f t="shared" si="2"/>
        <v/>
      </c>
      <c r="I38" t="str">
        <f t="shared" si="3"/>
        <v/>
      </c>
      <c r="J38" s="114" t="str">
        <f t="shared" si="7"/>
        <v/>
      </c>
    </row>
    <row r="39" spans="1:10">
      <c r="A39" t="str">
        <f t="shared" si="5"/>
        <v/>
      </c>
      <c r="B39">
        <f>'Option 1'!D47</f>
        <v>35</v>
      </c>
      <c r="C39" s="37" t="str">
        <f>IF('Option 1'!AD47="","",'Option 1'!AD47)</f>
        <v/>
      </c>
      <c r="D39" t="str">
        <f t="shared" si="6"/>
        <v/>
      </c>
      <c r="E39" s="105" t="str">
        <f t="shared" si="0"/>
        <v/>
      </c>
      <c r="F39" s="105">
        <v>35</v>
      </c>
      <c r="G39" t="str">
        <f t="shared" si="1"/>
        <v/>
      </c>
      <c r="H39" t="str">
        <f t="shared" si="2"/>
        <v/>
      </c>
      <c r="I39" t="str">
        <f t="shared" si="3"/>
        <v/>
      </c>
      <c r="J39" s="114" t="str">
        <f t="shared" si="7"/>
        <v/>
      </c>
    </row>
    <row r="40" spans="1:10">
      <c r="A40" t="str">
        <f t="shared" si="5"/>
        <v/>
      </c>
      <c r="B40">
        <f>'Option 1'!D48</f>
        <v>36</v>
      </c>
      <c r="C40" s="37" t="str">
        <f>IF('Option 1'!AD48="","",'Option 1'!AD48)</f>
        <v/>
      </c>
      <c r="D40" t="str">
        <f t="shared" si="6"/>
        <v/>
      </c>
      <c r="E40" s="105" t="str">
        <f t="shared" si="0"/>
        <v/>
      </c>
      <c r="F40" s="105">
        <v>36</v>
      </c>
      <c r="G40" t="str">
        <f t="shared" si="1"/>
        <v/>
      </c>
      <c r="H40" t="str">
        <f t="shared" si="2"/>
        <v/>
      </c>
      <c r="I40" t="str">
        <f t="shared" si="3"/>
        <v/>
      </c>
      <c r="J40" s="114" t="str">
        <f t="shared" si="7"/>
        <v/>
      </c>
    </row>
    <row r="41" spans="1:10">
      <c r="A41" t="str">
        <f t="shared" si="5"/>
        <v/>
      </c>
      <c r="B41">
        <f>'Option 1'!D49</f>
        <v>37</v>
      </c>
      <c r="C41" s="37" t="str">
        <f>IF('Option 1'!AD49="","",'Option 1'!AD49)</f>
        <v/>
      </c>
      <c r="D41" t="str">
        <f t="shared" si="6"/>
        <v/>
      </c>
      <c r="E41" s="105" t="str">
        <f t="shared" si="0"/>
        <v/>
      </c>
      <c r="F41" s="105">
        <v>37</v>
      </c>
      <c r="G41" t="str">
        <f t="shared" si="1"/>
        <v/>
      </c>
      <c r="H41" t="str">
        <f t="shared" si="2"/>
        <v/>
      </c>
      <c r="I41" t="str">
        <f t="shared" si="3"/>
        <v/>
      </c>
      <c r="J41" s="114" t="str">
        <f t="shared" si="7"/>
        <v/>
      </c>
    </row>
    <row r="42" spans="1:10">
      <c r="A42" t="str">
        <f t="shared" si="5"/>
        <v/>
      </c>
      <c r="B42">
        <f>'Option 1'!D50</f>
        <v>38</v>
      </c>
      <c r="C42" s="37" t="str">
        <f>IF('Option 1'!AD50="","",'Option 1'!AD50)</f>
        <v/>
      </c>
      <c r="D42" t="str">
        <f t="shared" si="6"/>
        <v/>
      </c>
      <c r="E42" s="105" t="str">
        <f t="shared" si="0"/>
        <v/>
      </c>
      <c r="F42" s="105">
        <v>38</v>
      </c>
      <c r="G42" t="str">
        <f t="shared" si="1"/>
        <v/>
      </c>
      <c r="H42" t="str">
        <f t="shared" si="2"/>
        <v/>
      </c>
      <c r="I42" t="str">
        <f t="shared" si="3"/>
        <v/>
      </c>
      <c r="J42" s="114" t="str">
        <f t="shared" si="7"/>
        <v/>
      </c>
    </row>
    <row r="43" spans="1:10">
      <c r="A43" t="str">
        <f t="shared" si="5"/>
        <v/>
      </c>
      <c r="B43">
        <f>'Option 1'!D51</f>
        <v>39</v>
      </c>
      <c r="C43" s="37" t="str">
        <f>IF('Option 1'!AD51="","",'Option 1'!AD51)</f>
        <v/>
      </c>
      <c r="D43" t="str">
        <f t="shared" si="6"/>
        <v/>
      </c>
      <c r="E43" s="105" t="str">
        <f t="shared" si="0"/>
        <v/>
      </c>
      <c r="F43" s="105">
        <v>39</v>
      </c>
      <c r="G43" t="str">
        <f t="shared" si="1"/>
        <v/>
      </c>
      <c r="H43" t="str">
        <f t="shared" si="2"/>
        <v/>
      </c>
      <c r="I43" t="str">
        <f t="shared" si="3"/>
        <v/>
      </c>
      <c r="J43" s="114" t="str">
        <f t="shared" si="7"/>
        <v/>
      </c>
    </row>
    <row r="44" spans="1:10">
      <c r="A44" t="str">
        <f t="shared" si="5"/>
        <v/>
      </c>
      <c r="B44">
        <f>'Option 1'!D52</f>
        <v>40</v>
      </c>
      <c r="C44" s="37" t="str">
        <f>IF('Option 1'!AD52="","",'Option 1'!AD52)</f>
        <v/>
      </c>
      <c r="D44" t="str">
        <f t="shared" si="6"/>
        <v/>
      </c>
      <c r="E44" s="105" t="str">
        <f t="shared" si="0"/>
        <v/>
      </c>
      <c r="F44" s="105">
        <v>40</v>
      </c>
      <c r="G44" t="str">
        <f t="shared" si="1"/>
        <v/>
      </c>
      <c r="H44" t="str">
        <f t="shared" si="2"/>
        <v/>
      </c>
      <c r="I44" t="str">
        <f t="shared" si="3"/>
        <v/>
      </c>
      <c r="J44" s="114" t="str">
        <f t="shared" si="7"/>
        <v/>
      </c>
    </row>
    <row r="45" spans="1:10">
      <c r="A45" t="str">
        <f t="shared" si="5"/>
        <v/>
      </c>
      <c r="B45">
        <f>'Option 1'!D53</f>
        <v>41</v>
      </c>
      <c r="C45" s="37" t="str">
        <f>IF('Option 1'!AD53="","",'Option 1'!AD53)</f>
        <v/>
      </c>
      <c r="D45" t="str">
        <f t="shared" si="6"/>
        <v/>
      </c>
      <c r="E45" s="105" t="str">
        <f t="shared" si="0"/>
        <v/>
      </c>
      <c r="F45" s="105">
        <v>41</v>
      </c>
      <c r="G45" t="str">
        <f t="shared" si="1"/>
        <v/>
      </c>
      <c r="H45" t="str">
        <f t="shared" si="2"/>
        <v/>
      </c>
      <c r="I45" t="str">
        <f t="shared" si="3"/>
        <v/>
      </c>
      <c r="J45" s="114" t="str">
        <f t="shared" si="7"/>
        <v/>
      </c>
    </row>
    <row r="46" spans="1:10">
      <c r="A46" t="str">
        <f t="shared" si="5"/>
        <v/>
      </c>
      <c r="B46">
        <f>'Option 1'!D54</f>
        <v>42</v>
      </c>
      <c r="C46" s="37" t="str">
        <f>IF('Option 1'!AD54="","",'Option 1'!AD54)</f>
        <v/>
      </c>
      <c r="D46" t="str">
        <f t="shared" si="6"/>
        <v/>
      </c>
      <c r="E46" s="105" t="str">
        <f t="shared" si="0"/>
        <v/>
      </c>
      <c r="F46" s="105">
        <v>42</v>
      </c>
      <c r="G46" t="str">
        <f t="shared" si="1"/>
        <v/>
      </c>
      <c r="H46" t="str">
        <f t="shared" si="2"/>
        <v/>
      </c>
      <c r="I46" t="str">
        <f t="shared" si="3"/>
        <v/>
      </c>
      <c r="J46" s="114" t="str">
        <f t="shared" si="7"/>
        <v/>
      </c>
    </row>
    <row r="47" spans="1:10">
      <c r="A47" t="str">
        <f t="shared" si="5"/>
        <v/>
      </c>
      <c r="B47">
        <f>'Option 1'!D55</f>
        <v>43</v>
      </c>
      <c r="C47" s="37" t="str">
        <f>IF('Option 1'!AD55="","",'Option 1'!AD55)</f>
        <v/>
      </c>
      <c r="D47" t="str">
        <f t="shared" si="6"/>
        <v/>
      </c>
      <c r="E47" s="105" t="str">
        <f t="shared" si="0"/>
        <v/>
      </c>
      <c r="F47" s="105">
        <v>43</v>
      </c>
      <c r="G47" t="str">
        <f t="shared" si="1"/>
        <v/>
      </c>
      <c r="H47" t="str">
        <f t="shared" si="2"/>
        <v/>
      </c>
      <c r="I47" t="str">
        <f t="shared" si="3"/>
        <v/>
      </c>
      <c r="J47" s="114" t="str">
        <f t="shared" si="7"/>
        <v/>
      </c>
    </row>
    <row r="48" spans="1:10">
      <c r="A48" t="str">
        <f t="shared" si="5"/>
        <v/>
      </c>
      <c r="B48">
        <f>'Option 1'!D56</f>
        <v>44</v>
      </c>
      <c r="C48" s="37" t="str">
        <f>IF('Option 1'!AD56="","",'Option 1'!AD56)</f>
        <v/>
      </c>
      <c r="D48" t="str">
        <f t="shared" si="6"/>
        <v/>
      </c>
      <c r="E48" s="105" t="str">
        <f t="shared" si="0"/>
        <v/>
      </c>
      <c r="F48" s="105">
        <v>44</v>
      </c>
      <c r="G48" t="str">
        <f t="shared" si="1"/>
        <v/>
      </c>
      <c r="H48" t="str">
        <f t="shared" si="2"/>
        <v/>
      </c>
      <c r="I48" t="str">
        <f t="shared" si="3"/>
        <v/>
      </c>
      <c r="J48" s="114" t="str">
        <f t="shared" si="7"/>
        <v/>
      </c>
    </row>
    <row r="49" spans="1:10">
      <c r="A49" t="str">
        <f t="shared" si="5"/>
        <v/>
      </c>
      <c r="B49">
        <f>'Option 1'!D57</f>
        <v>45</v>
      </c>
      <c r="C49" s="37" t="str">
        <f>IF('Option 1'!AD57="","",'Option 1'!AD57)</f>
        <v/>
      </c>
      <c r="D49" t="str">
        <f t="shared" si="6"/>
        <v/>
      </c>
      <c r="E49" s="105" t="str">
        <f t="shared" si="0"/>
        <v/>
      </c>
      <c r="F49" s="105">
        <v>45</v>
      </c>
      <c r="G49" t="str">
        <f t="shared" si="1"/>
        <v/>
      </c>
      <c r="H49" t="str">
        <f t="shared" si="2"/>
        <v/>
      </c>
      <c r="I49" t="str">
        <f t="shared" si="3"/>
        <v/>
      </c>
      <c r="J49" s="114" t="str">
        <f t="shared" si="7"/>
        <v/>
      </c>
    </row>
    <row r="50" spans="1:10">
      <c r="A50" t="str">
        <f t="shared" si="5"/>
        <v/>
      </c>
      <c r="B50">
        <f>'Option 1'!D58</f>
        <v>46</v>
      </c>
      <c r="C50" s="37" t="str">
        <f>IF('Option 1'!AD58="","",'Option 1'!AD58)</f>
        <v/>
      </c>
      <c r="D50" t="str">
        <f t="shared" si="6"/>
        <v/>
      </c>
      <c r="E50" s="105" t="str">
        <f t="shared" si="0"/>
        <v/>
      </c>
      <c r="F50" s="105">
        <v>46</v>
      </c>
      <c r="G50" t="str">
        <f t="shared" si="1"/>
        <v/>
      </c>
      <c r="H50" t="str">
        <f t="shared" si="2"/>
        <v/>
      </c>
      <c r="I50" t="str">
        <f t="shared" si="3"/>
        <v/>
      </c>
      <c r="J50" s="114" t="str">
        <f t="shared" si="7"/>
        <v/>
      </c>
    </row>
    <row r="51" spans="1:10">
      <c r="A51" t="str">
        <f t="shared" si="5"/>
        <v/>
      </c>
      <c r="B51">
        <f>'Option 1'!D59</f>
        <v>47</v>
      </c>
      <c r="C51" s="37" t="str">
        <f>IF('Option 1'!AD59="","",'Option 1'!AD59)</f>
        <v/>
      </c>
      <c r="D51" t="str">
        <f t="shared" si="6"/>
        <v/>
      </c>
      <c r="E51" s="105" t="str">
        <f t="shared" si="0"/>
        <v/>
      </c>
      <c r="F51" s="105">
        <v>47</v>
      </c>
      <c r="G51" t="str">
        <f t="shared" si="1"/>
        <v/>
      </c>
      <c r="H51" t="str">
        <f t="shared" si="2"/>
        <v/>
      </c>
      <c r="I51" t="str">
        <f t="shared" si="3"/>
        <v/>
      </c>
      <c r="J51" s="114" t="str">
        <f t="shared" si="7"/>
        <v/>
      </c>
    </row>
    <row r="52" spans="1:10">
      <c r="A52" t="str">
        <f t="shared" si="5"/>
        <v/>
      </c>
      <c r="B52">
        <f>'Option 1'!D60</f>
        <v>48</v>
      </c>
      <c r="C52" s="37" t="str">
        <f>IF('Option 1'!AD60="","",'Option 1'!AD60)</f>
        <v/>
      </c>
      <c r="D52" t="str">
        <f t="shared" si="6"/>
        <v/>
      </c>
      <c r="E52" s="105" t="str">
        <f t="shared" si="0"/>
        <v/>
      </c>
      <c r="F52" s="105">
        <v>48</v>
      </c>
      <c r="G52" t="str">
        <f t="shared" si="1"/>
        <v/>
      </c>
      <c r="H52" t="str">
        <f t="shared" si="2"/>
        <v/>
      </c>
      <c r="I52" t="str">
        <f t="shared" si="3"/>
        <v/>
      </c>
      <c r="J52" s="114" t="str">
        <f t="shared" si="7"/>
        <v/>
      </c>
    </row>
    <row r="53" spans="1:10">
      <c r="A53" t="str">
        <f t="shared" si="5"/>
        <v/>
      </c>
      <c r="B53">
        <f>'Option 1'!D61</f>
        <v>49</v>
      </c>
      <c r="C53" s="37" t="str">
        <f>IF('Option 1'!AD61="","",'Option 1'!AD61)</f>
        <v/>
      </c>
      <c r="D53" t="str">
        <f t="shared" si="6"/>
        <v/>
      </c>
      <c r="E53" s="105" t="str">
        <f t="shared" si="0"/>
        <v/>
      </c>
      <c r="F53" s="105">
        <v>49</v>
      </c>
      <c r="G53" t="str">
        <f t="shared" si="1"/>
        <v/>
      </c>
      <c r="H53" t="str">
        <f t="shared" si="2"/>
        <v/>
      </c>
      <c r="I53" t="str">
        <f t="shared" si="3"/>
        <v/>
      </c>
      <c r="J53" s="114" t="str">
        <f t="shared" si="7"/>
        <v/>
      </c>
    </row>
    <row r="54" spans="1:10">
      <c r="A54" t="str">
        <f t="shared" si="5"/>
        <v/>
      </c>
      <c r="B54">
        <f>'Option 1'!D62</f>
        <v>50</v>
      </c>
      <c r="C54" s="37" t="str">
        <f>IF('Option 1'!AD62="","",'Option 1'!AD62)</f>
        <v/>
      </c>
      <c r="D54" t="str">
        <f t="shared" si="6"/>
        <v/>
      </c>
      <c r="E54" s="105" t="str">
        <f t="shared" si="0"/>
        <v/>
      </c>
      <c r="F54" s="105">
        <v>50</v>
      </c>
      <c r="G54" t="str">
        <f t="shared" si="1"/>
        <v/>
      </c>
      <c r="H54" t="str">
        <f t="shared" si="2"/>
        <v/>
      </c>
      <c r="I54" t="str">
        <f t="shared" si="3"/>
        <v/>
      </c>
      <c r="J54" s="114" t="str">
        <f t="shared" si="7"/>
        <v/>
      </c>
    </row>
    <row r="55" spans="1:10">
      <c r="A55" t="str">
        <f t="shared" si="5"/>
        <v/>
      </c>
      <c r="B55">
        <f>'Option 1'!D63</f>
        <v>51</v>
      </c>
      <c r="C55" s="37" t="str">
        <f>IF('Option 1'!AD63="","",'Option 1'!AD63)</f>
        <v/>
      </c>
      <c r="D55" t="str">
        <f t="shared" si="6"/>
        <v/>
      </c>
      <c r="E55" s="105" t="str">
        <f t="shared" si="0"/>
        <v/>
      </c>
      <c r="F55" s="105">
        <v>51</v>
      </c>
      <c r="G55" t="str">
        <f t="shared" si="1"/>
        <v/>
      </c>
      <c r="H55" t="str">
        <f t="shared" si="2"/>
        <v/>
      </c>
      <c r="I55" t="str">
        <f t="shared" si="3"/>
        <v/>
      </c>
      <c r="J55" s="114" t="str">
        <f t="shared" si="7"/>
        <v/>
      </c>
    </row>
    <row r="56" spans="1:10">
      <c r="A56" t="str">
        <f t="shared" si="5"/>
        <v/>
      </c>
      <c r="B56">
        <f>'Option 1'!D64</f>
        <v>52</v>
      </c>
      <c r="C56" s="37" t="str">
        <f>IF('Option 1'!AD64="","",'Option 1'!AD64)</f>
        <v/>
      </c>
      <c r="D56" t="str">
        <f t="shared" si="6"/>
        <v/>
      </c>
      <c r="E56" s="105" t="str">
        <f t="shared" si="0"/>
        <v/>
      </c>
      <c r="F56" s="105">
        <v>52</v>
      </c>
      <c r="G56" t="str">
        <f t="shared" si="1"/>
        <v/>
      </c>
      <c r="H56" t="str">
        <f t="shared" si="2"/>
        <v/>
      </c>
      <c r="I56" t="str">
        <f t="shared" si="3"/>
        <v/>
      </c>
      <c r="J56" s="114" t="str">
        <f t="shared" si="7"/>
        <v/>
      </c>
    </row>
    <row r="57" spans="1:10">
      <c r="A57" t="str">
        <f t="shared" si="5"/>
        <v/>
      </c>
      <c r="B57">
        <f>'Option 1'!D65</f>
        <v>53</v>
      </c>
      <c r="C57" s="37" t="str">
        <f>IF('Option 1'!AD65="","",'Option 1'!AD65)</f>
        <v/>
      </c>
      <c r="D57" t="str">
        <f t="shared" si="6"/>
        <v/>
      </c>
      <c r="E57" s="105" t="str">
        <f t="shared" si="0"/>
        <v/>
      </c>
      <c r="F57" s="105">
        <v>53</v>
      </c>
      <c r="G57" t="str">
        <f t="shared" si="1"/>
        <v/>
      </c>
      <c r="H57" t="str">
        <f t="shared" si="2"/>
        <v/>
      </c>
      <c r="I57" t="str">
        <f t="shared" si="3"/>
        <v/>
      </c>
      <c r="J57" s="114" t="str">
        <f t="shared" si="7"/>
        <v/>
      </c>
    </row>
    <row r="58" spans="1:10">
      <c r="A58" t="str">
        <f t="shared" si="5"/>
        <v/>
      </c>
      <c r="B58">
        <f>'Option 1'!D66</f>
        <v>54</v>
      </c>
      <c r="C58" s="37" t="str">
        <f>IF('Option 1'!AD66="","",'Option 1'!AD66)</f>
        <v/>
      </c>
      <c r="D58" t="str">
        <f t="shared" si="6"/>
        <v/>
      </c>
      <c r="E58" s="105" t="str">
        <f t="shared" si="0"/>
        <v/>
      </c>
      <c r="F58" s="105">
        <v>54</v>
      </c>
      <c r="G58" t="str">
        <f t="shared" si="1"/>
        <v/>
      </c>
      <c r="H58" t="str">
        <f t="shared" si="2"/>
        <v/>
      </c>
      <c r="I58" t="str">
        <f t="shared" si="3"/>
        <v/>
      </c>
      <c r="J58" s="114" t="str">
        <f t="shared" si="7"/>
        <v/>
      </c>
    </row>
    <row r="59" spans="1:10">
      <c r="A59" t="str">
        <f t="shared" si="5"/>
        <v/>
      </c>
      <c r="B59">
        <f>'Option 1'!D67</f>
        <v>55</v>
      </c>
      <c r="C59" s="37" t="str">
        <f>IF('Option 1'!AD67="","",'Option 1'!AD67)</f>
        <v/>
      </c>
      <c r="D59" t="str">
        <f t="shared" si="6"/>
        <v/>
      </c>
      <c r="E59" s="105" t="str">
        <f t="shared" si="0"/>
        <v/>
      </c>
      <c r="F59" s="105">
        <v>55</v>
      </c>
      <c r="G59" t="str">
        <f t="shared" si="1"/>
        <v/>
      </c>
      <c r="H59" t="str">
        <f t="shared" si="2"/>
        <v/>
      </c>
      <c r="I59" t="str">
        <f t="shared" si="3"/>
        <v/>
      </c>
      <c r="J59" s="114" t="str">
        <f t="shared" si="7"/>
        <v/>
      </c>
    </row>
    <row r="60" spans="1:10">
      <c r="A60" t="str">
        <f t="shared" si="5"/>
        <v/>
      </c>
      <c r="B60">
        <f>'Option 1'!D68</f>
        <v>56</v>
      </c>
      <c r="C60" s="37" t="str">
        <f>IF('Option 1'!AD68="","",'Option 1'!AD68)</f>
        <v/>
      </c>
      <c r="D60" t="str">
        <f t="shared" si="6"/>
        <v/>
      </c>
      <c r="E60" s="105" t="str">
        <f t="shared" si="0"/>
        <v/>
      </c>
      <c r="F60" s="105">
        <v>56</v>
      </c>
      <c r="G60" t="str">
        <f t="shared" si="1"/>
        <v/>
      </c>
      <c r="H60" t="str">
        <f t="shared" si="2"/>
        <v/>
      </c>
      <c r="I60" t="str">
        <f t="shared" si="3"/>
        <v/>
      </c>
      <c r="J60" s="114" t="str">
        <f t="shared" si="7"/>
        <v/>
      </c>
    </row>
    <row r="61" spans="1:10">
      <c r="A61" t="str">
        <f t="shared" si="5"/>
        <v/>
      </c>
      <c r="B61">
        <f>'Option 1'!D69</f>
        <v>57</v>
      </c>
      <c r="C61" s="37" t="str">
        <f>IF('Option 1'!AD69="","",'Option 1'!AD69)</f>
        <v/>
      </c>
      <c r="D61" t="str">
        <f t="shared" si="6"/>
        <v/>
      </c>
      <c r="E61" s="105" t="str">
        <f t="shared" si="0"/>
        <v/>
      </c>
      <c r="F61" s="105">
        <v>57</v>
      </c>
      <c r="G61" t="str">
        <f t="shared" si="1"/>
        <v/>
      </c>
      <c r="H61" t="str">
        <f t="shared" si="2"/>
        <v/>
      </c>
      <c r="I61" t="str">
        <f t="shared" si="3"/>
        <v/>
      </c>
      <c r="J61" s="114" t="str">
        <f t="shared" si="7"/>
        <v/>
      </c>
    </row>
    <row r="62" spans="1:10">
      <c r="A62" t="str">
        <f t="shared" si="5"/>
        <v/>
      </c>
      <c r="B62">
        <f>'Option 1'!D70</f>
        <v>58</v>
      </c>
      <c r="C62" s="37" t="str">
        <f>IF('Option 1'!AD70="","",'Option 1'!AD70)</f>
        <v/>
      </c>
      <c r="D62" t="str">
        <f t="shared" si="6"/>
        <v/>
      </c>
      <c r="E62" s="105" t="str">
        <f t="shared" si="0"/>
        <v/>
      </c>
      <c r="F62" s="105">
        <v>58</v>
      </c>
      <c r="G62" t="str">
        <f t="shared" si="1"/>
        <v/>
      </c>
      <c r="H62" t="str">
        <f t="shared" si="2"/>
        <v/>
      </c>
      <c r="I62" t="str">
        <f t="shared" si="3"/>
        <v/>
      </c>
      <c r="J62" s="114" t="str">
        <f t="shared" si="7"/>
        <v/>
      </c>
    </row>
    <row r="63" spans="1:10">
      <c r="A63" t="str">
        <f t="shared" si="5"/>
        <v/>
      </c>
      <c r="B63">
        <f>'Option 1'!D71</f>
        <v>59</v>
      </c>
      <c r="C63" s="37" t="str">
        <f>IF('Option 1'!AD71="","",'Option 1'!AD71)</f>
        <v/>
      </c>
      <c r="D63" t="str">
        <f t="shared" si="6"/>
        <v/>
      </c>
      <c r="E63" s="105" t="str">
        <f t="shared" si="0"/>
        <v/>
      </c>
      <c r="F63" s="105">
        <v>59</v>
      </c>
      <c r="G63" t="str">
        <f t="shared" si="1"/>
        <v/>
      </c>
      <c r="H63" t="str">
        <f t="shared" si="2"/>
        <v/>
      </c>
      <c r="I63" t="str">
        <f t="shared" si="3"/>
        <v/>
      </c>
      <c r="J63" s="114" t="str">
        <f t="shared" si="7"/>
        <v/>
      </c>
    </row>
    <row r="64" spans="1:10">
      <c r="A64" t="str">
        <f t="shared" si="5"/>
        <v/>
      </c>
      <c r="B64">
        <f>'Option 1'!D72</f>
        <v>60</v>
      </c>
      <c r="C64" s="37" t="str">
        <f>IF('Option 1'!AD72="","",'Option 1'!AD72)</f>
        <v/>
      </c>
      <c r="D64" t="str">
        <f t="shared" si="6"/>
        <v/>
      </c>
      <c r="E64" s="105" t="str">
        <f t="shared" si="0"/>
        <v/>
      </c>
      <c r="F64" s="105">
        <v>60</v>
      </c>
      <c r="G64" t="str">
        <f t="shared" si="1"/>
        <v/>
      </c>
      <c r="H64" t="str">
        <f t="shared" si="2"/>
        <v/>
      </c>
      <c r="I64" t="str">
        <f t="shared" si="3"/>
        <v/>
      </c>
      <c r="J64" s="114" t="str">
        <f t="shared" si="7"/>
        <v/>
      </c>
    </row>
    <row r="65" spans="1:10">
      <c r="A65" t="str">
        <f t="shared" si="5"/>
        <v/>
      </c>
      <c r="B65">
        <f>'Option 1'!D73</f>
        <v>61</v>
      </c>
      <c r="C65" s="37" t="str">
        <f>IF('Option 1'!AD73="","",'Option 1'!AD73)</f>
        <v/>
      </c>
      <c r="D65" t="str">
        <f t="shared" si="6"/>
        <v/>
      </c>
      <c r="E65" s="105" t="str">
        <f t="shared" si="0"/>
        <v/>
      </c>
      <c r="F65" s="105">
        <v>61</v>
      </c>
      <c r="G65" t="str">
        <f t="shared" si="1"/>
        <v/>
      </c>
      <c r="H65" t="str">
        <f t="shared" si="2"/>
        <v/>
      </c>
      <c r="I65" t="str">
        <f t="shared" si="3"/>
        <v/>
      </c>
      <c r="J65" s="114" t="str">
        <f t="shared" si="7"/>
        <v/>
      </c>
    </row>
    <row r="66" spans="1:10">
      <c r="A66" t="str">
        <f t="shared" si="5"/>
        <v/>
      </c>
      <c r="B66">
        <f>'Option 1'!D74</f>
        <v>62</v>
      </c>
      <c r="C66" s="37" t="str">
        <f>IF('Option 1'!AD74="","",'Option 1'!AD74)</f>
        <v/>
      </c>
      <c r="D66" t="str">
        <f t="shared" si="6"/>
        <v/>
      </c>
      <c r="E66" s="105" t="str">
        <f t="shared" si="0"/>
        <v/>
      </c>
      <c r="F66" s="105">
        <v>62</v>
      </c>
      <c r="G66" t="str">
        <f t="shared" si="1"/>
        <v/>
      </c>
      <c r="H66" t="str">
        <f t="shared" si="2"/>
        <v/>
      </c>
      <c r="I66" t="str">
        <f t="shared" si="3"/>
        <v/>
      </c>
      <c r="J66" s="114" t="str">
        <f t="shared" si="7"/>
        <v/>
      </c>
    </row>
    <row r="67" spans="1:10">
      <c r="A67" t="str">
        <f t="shared" si="5"/>
        <v/>
      </c>
      <c r="B67">
        <f>'Option 1'!D75</f>
        <v>63</v>
      </c>
      <c r="C67" s="37" t="str">
        <f>IF('Option 1'!AD75="","",'Option 1'!AD75)</f>
        <v/>
      </c>
      <c r="D67" t="str">
        <f t="shared" si="6"/>
        <v/>
      </c>
      <c r="E67" s="105" t="str">
        <f t="shared" si="0"/>
        <v/>
      </c>
      <c r="F67" s="105">
        <v>63</v>
      </c>
      <c r="G67" t="str">
        <f t="shared" si="1"/>
        <v/>
      </c>
      <c r="H67" t="str">
        <f t="shared" si="2"/>
        <v/>
      </c>
      <c r="I67" t="str">
        <f t="shared" si="3"/>
        <v/>
      </c>
      <c r="J67" s="114" t="str">
        <f t="shared" si="7"/>
        <v/>
      </c>
    </row>
    <row r="68" spans="1:10">
      <c r="A68" t="str">
        <f t="shared" si="5"/>
        <v/>
      </c>
      <c r="B68">
        <f>'Option 1'!D76</f>
        <v>64</v>
      </c>
      <c r="C68" s="37" t="str">
        <f>IF('Option 1'!AD76="","",'Option 1'!AD76)</f>
        <v/>
      </c>
      <c r="D68" t="str">
        <f t="shared" si="6"/>
        <v/>
      </c>
      <c r="E68" s="105" t="str">
        <f t="shared" si="0"/>
        <v/>
      </c>
      <c r="F68" s="105">
        <v>64</v>
      </c>
      <c r="G68" t="str">
        <f t="shared" si="1"/>
        <v/>
      </c>
      <c r="H68" t="str">
        <f t="shared" si="2"/>
        <v/>
      </c>
      <c r="I68" t="str">
        <f t="shared" si="3"/>
        <v/>
      </c>
      <c r="J68" s="114" t="str">
        <f t="shared" si="7"/>
        <v/>
      </c>
    </row>
    <row r="69" spans="1:10">
      <c r="A69" t="str">
        <f t="shared" si="5"/>
        <v/>
      </c>
      <c r="B69">
        <f>'Option 1'!D77</f>
        <v>65</v>
      </c>
      <c r="C69" s="37" t="str">
        <f>IF('Option 1'!AD77="","",'Option 1'!AD77)</f>
        <v/>
      </c>
      <c r="D69" t="str">
        <f t="shared" si="6"/>
        <v/>
      </c>
      <c r="E69" s="105" t="str">
        <f t="shared" ref="E69:E132" si="8">IF(ISNA(VLOOKUP(B69,BCFast,2,FALSE)),"",VLOOKUP(B69,BCFast,2,FALSE))</f>
        <v/>
      </c>
      <c r="F69" s="105">
        <v>65</v>
      </c>
      <c r="G69" t="str">
        <f t="shared" ref="G69:G132" si="9">IF(ISERROR(VLOOKUP($F69,Result,9,FALSE)=""),"",VLOOKUP($F69,Result,9,FALSE))</f>
        <v/>
      </c>
      <c r="H69" t="str">
        <f t="shared" ref="H69:H132" si="10">IF(ISERROR(VLOOKUP($F69,Result,6,FALSE)),"",VLOOKUP($F69,Result,6,FALSE))</f>
        <v/>
      </c>
      <c r="I69" t="str">
        <f t="shared" ref="I69:I132" si="11">IF(ISERROR(VLOOKUP($F69,Result,17,FALSE)),"",(VLOOKUP($F69,Result,17,FALSE)))</f>
        <v/>
      </c>
      <c r="J69" s="114" t="str">
        <f t="shared" si="7"/>
        <v/>
      </c>
    </row>
    <row r="70" spans="1:10">
      <c r="A70" t="str">
        <f t="shared" ref="A70:A133" si="12">IF(D70="","",RANK(D70,$D$5:$D$204,1))</f>
        <v/>
      </c>
      <c r="B70">
        <f>'Option 1'!D78</f>
        <v>66</v>
      </c>
      <c r="C70" s="37" t="str">
        <f>IF('Option 1'!AD78="","",'Option 1'!AD78)</f>
        <v/>
      </c>
      <c r="D70" t="str">
        <f t="shared" ref="D70:D133" si="13">IF(C70="","",C70+(0.000000001*ROW()))</f>
        <v/>
      </c>
      <c r="E70" s="105" t="str">
        <f t="shared" si="8"/>
        <v/>
      </c>
      <c r="F70" s="105">
        <v>66</v>
      </c>
      <c r="G70" t="str">
        <f t="shared" si="9"/>
        <v/>
      </c>
      <c r="H70" t="str">
        <f t="shared" si="10"/>
        <v/>
      </c>
      <c r="I70" t="str">
        <f t="shared" si="11"/>
        <v/>
      </c>
      <c r="J70" s="114" t="str">
        <f t="shared" ref="J70:J133" si="14">IF(ISERROR(VLOOKUP(F70,Result,30,FALSE)),"",(VLOOKUP(F70,Result,30,FALSE)))</f>
        <v/>
      </c>
    </row>
    <row r="71" spans="1:10">
      <c r="A71" t="str">
        <f t="shared" si="12"/>
        <v/>
      </c>
      <c r="B71">
        <f>'Option 1'!D79</f>
        <v>67</v>
      </c>
      <c r="C71" s="37" t="str">
        <f>IF('Option 1'!AD79="","",'Option 1'!AD79)</f>
        <v/>
      </c>
      <c r="D71" t="str">
        <f t="shared" si="13"/>
        <v/>
      </c>
      <c r="E71" s="105" t="str">
        <f t="shared" si="8"/>
        <v/>
      </c>
      <c r="F71" s="105">
        <v>67</v>
      </c>
      <c r="G71" t="str">
        <f t="shared" si="9"/>
        <v/>
      </c>
      <c r="H71" t="str">
        <f t="shared" si="10"/>
        <v/>
      </c>
      <c r="I71" t="str">
        <f t="shared" si="11"/>
        <v/>
      </c>
      <c r="J71" s="114" t="str">
        <f t="shared" si="14"/>
        <v/>
      </c>
    </row>
    <row r="72" spans="1:10">
      <c r="A72" t="str">
        <f t="shared" si="12"/>
        <v/>
      </c>
      <c r="B72">
        <f>'Option 1'!D80</f>
        <v>68</v>
      </c>
      <c r="C72" s="37" t="str">
        <f>IF('Option 1'!AD80="","",'Option 1'!AD80)</f>
        <v/>
      </c>
      <c r="D72" t="str">
        <f t="shared" si="13"/>
        <v/>
      </c>
      <c r="E72" s="105" t="str">
        <f t="shared" si="8"/>
        <v/>
      </c>
      <c r="F72" s="105">
        <v>68</v>
      </c>
      <c r="G72" t="str">
        <f t="shared" si="9"/>
        <v/>
      </c>
      <c r="H72" t="str">
        <f t="shared" si="10"/>
        <v/>
      </c>
      <c r="I72" t="str">
        <f t="shared" si="11"/>
        <v/>
      </c>
      <c r="J72" s="114" t="str">
        <f t="shared" si="14"/>
        <v/>
      </c>
    </row>
    <row r="73" spans="1:10">
      <c r="A73" t="str">
        <f t="shared" si="12"/>
        <v/>
      </c>
      <c r="B73">
        <f>'Option 1'!D81</f>
        <v>69</v>
      </c>
      <c r="C73" s="37" t="str">
        <f>IF('Option 1'!AD81="","",'Option 1'!AD81)</f>
        <v/>
      </c>
      <c r="D73" t="str">
        <f t="shared" si="13"/>
        <v/>
      </c>
      <c r="E73" s="105" t="str">
        <f t="shared" si="8"/>
        <v/>
      </c>
      <c r="F73" s="105">
        <v>69</v>
      </c>
      <c r="G73" t="str">
        <f t="shared" si="9"/>
        <v/>
      </c>
      <c r="H73" t="str">
        <f t="shared" si="10"/>
        <v/>
      </c>
      <c r="I73" t="str">
        <f t="shared" si="11"/>
        <v/>
      </c>
      <c r="J73" s="114" t="str">
        <f t="shared" si="14"/>
        <v/>
      </c>
    </row>
    <row r="74" spans="1:10">
      <c r="A74" t="str">
        <f t="shared" si="12"/>
        <v/>
      </c>
      <c r="B74">
        <f>'Option 1'!D82</f>
        <v>70</v>
      </c>
      <c r="C74" s="37" t="str">
        <f>IF('Option 1'!AD82="","",'Option 1'!AD82)</f>
        <v/>
      </c>
      <c r="D74" t="str">
        <f t="shared" si="13"/>
        <v/>
      </c>
      <c r="E74" s="105" t="str">
        <f t="shared" si="8"/>
        <v/>
      </c>
      <c r="F74" s="105">
        <v>70</v>
      </c>
      <c r="G74" t="str">
        <f t="shared" si="9"/>
        <v/>
      </c>
      <c r="H74" t="str">
        <f t="shared" si="10"/>
        <v/>
      </c>
      <c r="I74" t="str">
        <f t="shared" si="11"/>
        <v/>
      </c>
      <c r="J74" s="114" t="str">
        <f t="shared" si="14"/>
        <v/>
      </c>
    </row>
    <row r="75" spans="1:10">
      <c r="A75" t="str">
        <f t="shared" si="12"/>
        <v/>
      </c>
      <c r="B75">
        <f>'Option 1'!D83</f>
        <v>71</v>
      </c>
      <c r="C75" s="37" t="str">
        <f>IF('Option 1'!AD83="","",'Option 1'!AD83)</f>
        <v/>
      </c>
      <c r="D75" t="str">
        <f t="shared" si="13"/>
        <v/>
      </c>
      <c r="E75" s="105" t="str">
        <f t="shared" si="8"/>
        <v/>
      </c>
      <c r="F75" s="105">
        <v>71</v>
      </c>
      <c r="G75" t="str">
        <f t="shared" si="9"/>
        <v/>
      </c>
      <c r="H75" t="str">
        <f t="shared" si="10"/>
        <v/>
      </c>
      <c r="I75" t="str">
        <f t="shared" si="11"/>
        <v/>
      </c>
      <c r="J75" s="114" t="str">
        <f t="shared" si="14"/>
        <v/>
      </c>
    </row>
    <row r="76" spans="1:10">
      <c r="A76" t="str">
        <f t="shared" si="12"/>
        <v/>
      </c>
      <c r="B76">
        <f>'Option 1'!D84</f>
        <v>72</v>
      </c>
      <c r="C76" s="37" t="str">
        <f>IF('Option 1'!AD84="","",'Option 1'!AD84)</f>
        <v/>
      </c>
      <c r="D76" t="str">
        <f t="shared" si="13"/>
        <v/>
      </c>
      <c r="E76" s="105" t="str">
        <f t="shared" si="8"/>
        <v/>
      </c>
      <c r="F76" s="105">
        <v>72</v>
      </c>
      <c r="G76" t="str">
        <f t="shared" si="9"/>
        <v/>
      </c>
      <c r="H76" t="str">
        <f t="shared" si="10"/>
        <v/>
      </c>
      <c r="I76" t="str">
        <f t="shared" si="11"/>
        <v/>
      </c>
      <c r="J76" s="114" t="str">
        <f t="shared" si="14"/>
        <v/>
      </c>
    </row>
    <row r="77" spans="1:10">
      <c r="A77" t="str">
        <f t="shared" si="12"/>
        <v/>
      </c>
      <c r="B77">
        <f>'Option 1'!D85</f>
        <v>73</v>
      </c>
      <c r="C77" s="37" t="str">
        <f>IF('Option 1'!AD85="","",'Option 1'!AD85)</f>
        <v/>
      </c>
      <c r="D77" t="str">
        <f t="shared" si="13"/>
        <v/>
      </c>
      <c r="E77" s="105" t="str">
        <f t="shared" si="8"/>
        <v/>
      </c>
      <c r="F77" s="105">
        <v>73</v>
      </c>
      <c r="G77" t="str">
        <f t="shared" si="9"/>
        <v/>
      </c>
      <c r="H77" t="str">
        <f t="shared" si="10"/>
        <v/>
      </c>
      <c r="I77" t="str">
        <f t="shared" si="11"/>
        <v/>
      </c>
      <c r="J77" s="114" t="str">
        <f t="shared" si="14"/>
        <v/>
      </c>
    </row>
    <row r="78" spans="1:10">
      <c r="A78" t="str">
        <f t="shared" si="12"/>
        <v/>
      </c>
      <c r="B78">
        <f>'Option 1'!D86</f>
        <v>74</v>
      </c>
      <c r="C78" s="37" t="str">
        <f>IF('Option 1'!AD86="","",'Option 1'!AD86)</f>
        <v/>
      </c>
      <c r="D78" t="str">
        <f t="shared" si="13"/>
        <v/>
      </c>
      <c r="E78" s="105" t="str">
        <f t="shared" si="8"/>
        <v/>
      </c>
      <c r="F78" s="105">
        <v>74</v>
      </c>
      <c r="G78" t="str">
        <f t="shared" si="9"/>
        <v/>
      </c>
      <c r="H78" t="str">
        <f t="shared" si="10"/>
        <v/>
      </c>
      <c r="I78" t="str">
        <f t="shared" si="11"/>
        <v/>
      </c>
      <c r="J78" s="114" t="str">
        <f t="shared" si="14"/>
        <v/>
      </c>
    </row>
    <row r="79" spans="1:10">
      <c r="A79" t="str">
        <f t="shared" si="12"/>
        <v/>
      </c>
      <c r="B79">
        <f>'Option 1'!D87</f>
        <v>75</v>
      </c>
      <c r="C79" s="37" t="str">
        <f>IF('Option 1'!AD87="","",'Option 1'!AD87)</f>
        <v/>
      </c>
      <c r="D79" t="str">
        <f t="shared" si="13"/>
        <v/>
      </c>
      <c r="E79" s="105" t="str">
        <f t="shared" si="8"/>
        <v/>
      </c>
      <c r="F79" s="105">
        <v>75</v>
      </c>
      <c r="G79" t="str">
        <f t="shared" si="9"/>
        <v/>
      </c>
      <c r="H79" t="str">
        <f t="shared" si="10"/>
        <v/>
      </c>
      <c r="I79" t="str">
        <f t="shared" si="11"/>
        <v/>
      </c>
      <c r="J79" s="114" t="str">
        <f t="shared" si="14"/>
        <v/>
      </c>
    </row>
    <row r="80" spans="1:10">
      <c r="A80" t="str">
        <f t="shared" si="12"/>
        <v/>
      </c>
      <c r="B80">
        <f>'Option 1'!D88</f>
        <v>76</v>
      </c>
      <c r="C80" s="37" t="str">
        <f>IF('Option 1'!AD88="","",'Option 1'!AD88)</f>
        <v/>
      </c>
      <c r="D80" t="str">
        <f t="shared" si="13"/>
        <v/>
      </c>
      <c r="E80" s="105" t="str">
        <f t="shared" si="8"/>
        <v/>
      </c>
      <c r="F80" s="105">
        <v>76</v>
      </c>
      <c r="G80" t="str">
        <f t="shared" si="9"/>
        <v/>
      </c>
      <c r="H80" t="str">
        <f t="shared" si="10"/>
        <v/>
      </c>
      <c r="I80" t="str">
        <f t="shared" si="11"/>
        <v/>
      </c>
      <c r="J80" s="114" t="str">
        <f t="shared" si="14"/>
        <v/>
      </c>
    </row>
    <row r="81" spans="1:10">
      <c r="A81" t="str">
        <f t="shared" si="12"/>
        <v/>
      </c>
      <c r="B81">
        <f>'Option 1'!D89</f>
        <v>77</v>
      </c>
      <c r="C81" s="37" t="str">
        <f>IF('Option 1'!AD89="","",'Option 1'!AD89)</f>
        <v/>
      </c>
      <c r="D81" t="str">
        <f t="shared" si="13"/>
        <v/>
      </c>
      <c r="E81" s="105" t="str">
        <f t="shared" si="8"/>
        <v/>
      </c>
      <c r="F81" s="105">
        <v>77</v>
      </c>
      <c r="G81" t="str">
        <f t="shared" si="9"/>
        <v/>
      </c>
      <c r="H81" t="str">
        <f t="shared" si="10"/>
        <v/>
      </c>
      <c r="I81" t="str">
        <f t="shared" si="11"/>
        <v/>
      </c>
      <c r="J81" s="114" t="str">
        <f t="shared" si="14"/>
        <v/>
      </c>
    </row>
    <row r="82" spans="1:10">
      <c r="A82" t="str">
        <f t="shared" si="12"/>
        <v/>
      </c>
      <c r="B82">
        <f>'Option 1'!D90</f>
        <v>78</v>
      </c>
      <c r="C82" s="37" t="str">
        <f>IF('Option 1'!AD90="","",'Option 1'!AD90)</f>
        <v/>
      </c>
      <c r="D82" t="str">
        <f t="shared" si="13"/>
        <v/>
      </c>
      <c r="E82" s="105" t="str">
        <f t="shared" si="8"/>
        <v/>
      </c>
      <c r="F82" s="105">
        <v>78</v>
      </c>
      <c r="G82" t="str">
        <f t="shared" si="9"/>
        <v/>
      </c>
      <c r="H82" t="str">
        <f t="shared" si="10"/>
        <v/>
      </c>
      <c r="I82" t="str">
        <f t="shared" si="11"/>
        <v/>
      </c>
      <c r="J82" s="114" t="str">
        <f t="shared" si="14"/>
        <v/>
      </c>
    </row>
    <row r="83" spans="1:10">
      <c r="A83" t="str">
        <f t="shared" si="12"/>
        <v/>
      </c>
      <c r="B83">
        <f>'Option 1'!D91</f>
        <v>79</v>
      </c>
      <c r="C83" s="37" t="str">
        <f>IF('Option 1'!AD91="","",'Option 1'!AD91)</f>
        <v/>
      </c>
      <c r="D83" t="str">
        <f t="shared" si="13"/>
        <v/>
      </c>
      <c r="E83" s="105" t="str">
        <f t="shared" si="8"/>
        <v/>
      </c>
      <c r="F83" s="105">
        <v>79</v>
      </c>
      <c r="G83" t="str">
        <f t="shared" si="9"/>
        <v/>
      </c>
      <c r="H83" t="str">
        <f t="shared" si="10"/>
        <v/>
      </c>
      <c r="I83" t="str">
        <f t="shared" si="11"/>
        <v/>
      </c>
      <c r="J83" s="114" t="str">
        <f t="shared" si="14"/>
        <v/>
      </c>
    </row>
    <row r="84" spans="1:10">
      <c r="A84" t="str">
        <f t="shared" si="12"/>
        <v/>
      </c>
      <c r="B84">
        <f>'Option 1'!D92</f>
        <v>80</v>
      </c>
      <c r="C84" s="37" t="str">
        <f>IF('Option 1'!AD92="","",'Option 1'!AD92)</f>
        <v/>
      </c>
      <c r="D84" t="str">
        <f t="shared" si="13"/>
        <v/>
      </c>
      <c r="E84" s="105" t="str">
        <f t="shared" si="8"/>
        <v/>
      </c>
      <c r="F84" s="105">
        <v>80</v>
      </c>
      <c r="G84" t="str">
        <f t="shared" si="9"/>
        <v/>
      </c>
      <c r="H84" t="str">
        <f t="shared" si="10"/>
        <v/>
      </c>
      <c r="I84" t="str">
        <f t="shared" si="11"/>
        <v/>
      </c>
      <c r="J84" s="114" t="str">
        <f t="shared" si="14"/>
        <v/>
      </c>
    </row>
    <row r="85" spans="1:10">
      <c r="A85" t="str">
        <f t="shared" si="12"/>
        <v/>
      </c>
      <c r="B85">
        <f>'Option 1'!D93</f>
        <v>81</v>
      </c>
      <c r="C85" s="37" t="str">
        <f>IF('Option 1'!AD93="","",'Option 1'!AD93)</f>
        <v/>
      </c>
      <c r="D85" t="str">
        <f t="shared" si="13"/>
        <v/>
      </c>
      <c r="E85" s="105" t="str">
        <f t="shared" si="8"/>
        <v/>
      </c>
      <c r="F85" s="105">
        <v>81</v>
      </c>
      <c r="G85" t="str">
        <f t="shared" si="9"/>
        <v/>
      </c>
      <c r="H85" t="str">
        <f t="shared" si="10"/>
        <v/>
      </c>
      <c r="I85" t="str">
        <f t="shared" si="11"/>
        <v/>
      </c>
      <c r="J85" s="114" t="str">
        <f t="shared" si="14"/>
        <v/>
      </c>
    </row>
    <row r="86" spans="1:10">
      <c r="A86" t="str">
        <f t="shared" si="12"/>
        <v/>
      </c>
      <c r="B86">
        <f>'Option 1'!D94</f>
        <v>82</v>
      </c>
      <c r="C86" s="37" t="str">
        <f>IF('Option 1'!AD94="","",'Option 1'!AD94)</f>
        <v/>
      </c>
      <c r="D86" t="str">
        <f t="shared" si="13"/>
        <v/>
      </c>
      <c r="E86" s="105" t="str">
        <f t="shared" si="8"/>
        <v/>
      </c>
      <c r="F86" s="105">
        <v>82</v>
      </c>
      <c r="G86" t="str">
        <f t="shared" si="9"/>
        <v/>
      </c>
      <c r="H86" t="str">
        <f t="shared" si="10"/>
        <v/>
      </c>
      <c r="I86" t="str">
        <f t="shared" si="11"/>
        <v/>
      </c>
      <c r="J86" s="114" t="str">
        <f t="shared" si="14"/>
        <v/>
      </c>
    </row>
    <row r="87" spans="1:10">
      <c r="A87" t="str">
        <f t="shared" si="12"/>
        <v/>
      </c>
      <c r="B87">
        <f>'Option 1'!D95</f>
        <v>83</v>
      </c>
      <c r="C87" s="37" t="str">
        <f>IF('Option 1'!AD95="","",'Option 1'!AD95)</f>
        <v/>
      </c>
      <c r="D87" t="str">
        <f t="shared" si="13"/>
        <v/>
      </c>
      <c r="E87" s="105" t="str">
        <f t="shared" si="8"/>
        <v/>
      </c>
      <c r="F87" s="105">
        <v>83</v>
      </c>
      <c r="G87" t="str">
        <f t="shared" si="9"/>
        <v/>
      </c>
      <c r="H87" t="str">
        <f t="shared" si="10"/>
        <v/>
      </c>
      <c r="I87" t="str">
        <f t="shared" si="11"/>
        <v/>
      </c>
      <c r="J87" s="114" t="str">
        <f t="shared" si="14"/>
        <v/>
      </c>
    </row>
    <row r="88" spans="1:10">
      <c r="A88" t="str">
        <f t="shared" si="12"/>
        <v/>
      </c>
      <c r="B88">
        <f>'Option 1'!D96</f>
        <v>84</v>
      </c>
      <c r="C88" s="37" t="str">
        <f>IF('Option 1'!AD96="","",'Option 1'!AD96)</f>
        <v/>
      </c>
      <c r="D88" t="str">
        <f t="shared" si="13"/>
        <v/>
      </c>
      <c r="E88" s="105" t="str">
        <f t="shared" si="8"/>
        <v/>
      </c>
      <c r="F88" s="105">
        <v>84</v>
      </c>
      <c r="G88" t="str">
        <f t="shared" si="9"/>
        <v/>
      </c>
      <c r="H88" t="str">
        <f t="shared" si="10"/>
        <v/>
      </c>
      <c r="I88" t="str">
        <f t="shared" si="11"/>
        <v/>
      </c>
      <c r="J88" s="114" t="str">
        <f t="shared" si="14"/>
        <v/>
      </c>
    </row>
    <row r="89" spans="1:10">
      <c r="A89" t="str">
        <f t="shared" si="12"/>
        <v/>
      </c>
      <c r="B89">
        <f>'Option 1'!D97</f>
        <v>85</v>
      </c>
      <c r="C89" s="37" t="str">
        <f>IF('Option 1'!AD97="","",'Option 1'!AD97)</f>
        <v/>
      </c>
      <c r="D89" t="str">
        <f t="shared" si="13"/>
        <v/>
      </c>
      <c r="E89" s="105" t="str">
        <f t="shared" si="8"/>
        <v/>
      </c>
      <c r="F89" s="105">
        <v>85</v>
      </c>
      <c r="G89" t="str">
        <f t="shared" si="9"/>
        <v/>
      </c>
      <c r="H89" t="str">
        <f t="shared" si="10"/>
        <v/>
      </c>
      <c r="I89" t="str">
        <f t="shared" si="11"/>
        <v/>
      </c>
      <c r="J89" s="114" t="str">
        <f t="shared" si="14"/>
        <v/>
      </c>
    </row>
    <row r="90" spans="1:10">
      <c r="A90" t="str">
        <f t="shared" si="12"/>
        <v/>
      </c>
      <c r="B90">
        <f>'Option 1'!D98</f>
        <v>86</v>
      </c>
      <c r="C90" s="37" t="str">
        <f>IF('Option 1'!AD98="","",'Option 1'!AD98)</f>
        <v/>
      </c>
      <c r="D90" t="str">
        <f t="shared" si="13"/>
        <v/>
      </c>
      <c r="E90" s="105" t="str">
        <f t="shared" si="8"/>
        <v/>
      </c>
      <c r="F90" s="105">
        <v>86</v>
      </c>
      <c r="G90" t="str">
        <f t="shared" si="9"/>
        <v/>
      </c>
      <c r="H90" t="str">
        <f t="shared" si="10"/>
        <v/>
      </c>
      <c r="I90" t="str">
        <f t="shared" si="11"/>
        <v/>
      </c>
      <c r="J90" s="114" t="str">
        <f t="shared" si="14"/>
        <v/>
      </c>
    </row>
    <row r="91" spans="1:10">
      <c r="A91" t="str">
        <f t="shared" si="12"/>
        <v/>
      </c>
      <c r="B91">
        <f>'Option 1'!D99</f>
        <v>87</v>
      </c>
      <c r="C91" s="37" t="str">
        <f>IF('Option 1'!AD99="","",'Option 1'!AD99)</f>
        <v/>
      </c>
      <c r="D91" t="str">
        <f t="shared" si="13"/>
        <v/>
      </c>
      <c r="E91" s="105" t="str">
        <f t="shared" si="8"/>
        <v/>
      </c>
      <c r="F91" s="105">
        <v>87</v>
      </c>
      <c r="G91" t="str">
        <f t="shared" si="9"/>
        <v/>
      </c>
      <c r="H91" t="str">
        <f t="shared" si="10"/>
        <v/>
      </c>
      <c r="I91" t="str">
        <f t="shared" si="11"/>
        <v/>
      </c>
      <c r="J91" s="114" t="str">
        <f t="shared" si="14"/>
        <v/>
      </c>
    </row>
    <row r="92" spans="1:10">
      <c r="A92" t="str">
        <f t="shared" si="12"/>
        <v/>
      </c>
      <c r="B92">
        <f>'Option 1'!D100</f>
        <v>88</v>
      </c>
      <c r="C92" s="37" t="str">
        <f>IF('Option 1'!AD100="","",'Option 1'!AD100)</f>
        <v/>
      </c>
      <c r="D92" t="str">
        <f t="shared" si="13"/>
        <v/>
      </c>
      <c r="E92" s="105" t="str">
        <f t="shared" si="8"/>
        <v/>
      </c>
      <c r="F92" s="105">
        <v>88</v>
      </c>
      <c r="G92" t="str">
        <f t="shared" si="9"/>
        <v/>
      </c>
      <c r="H92" t="str">
        <f t="shared" si="10"/>
        <v/>
      </c>
      <c r="I92" t="str">
        <f t="shared" si="11"/>
        <v/>
      </c>
      <c r="J92" s="114" t="str">
        <f t="shared" si="14"/>
        <v/>
      </c>
    </row>
    <row r="93" spans="1:10">
      <c r="A93" t="str">
        <f t="shared" si="12"/>
        <v/>
      </c>
      <c r="B93">
        <f>'Option 1'!D101</f>
        <v>89</v>
      </c>
      <c r="C93" s="37" t="str">
        <f>IF('Option 1'!AD101="","",'Option 1'!AD101)</f>
        <v/>
      </c>
      <c r="D93" t="str">
        <f t="shared" si="13"/>
        <v/>
      </c>
      <c r="E93" s="105" t="str">
        <f t="shared" si="8"/>
        <v/>
      </c>
      <c r="F93" s="105">
        <v>89</v>
      </c>
      <c r="G93" t="str">
        <f t="shared" si="9"/>
        <v/>
      </c>
      <c r="H93" t="str">
        <f t="shared" si="10"/>
        <v/>
      </c>
      <c r="I93" t="str">
        <f t="shared" si="11"/>
        <v/>
      </c>
      <c r="J93" s="114" t="str">
        <f t="shared" si="14"/>
        <v/>
      </c>
    </row>
    <row r="94" spans="1:10">
      <c r="A94" t="str">
        <f t="shared" si="12"/>
        <v/>
      </c>
      <c r="B94">
        <f>'Option 1'!D102</f>
        <v>90</v>
      </c>
      <c r="C94" s="37" t="str">
        <f>IF('Option 1'!AD102="","",'Option 1'!AD102)</f>
        <v/>
      </c>
      <c r="D94" t="str">
        <f t="shared" si="13"/>
        <v/>
      </c>
      <c r="E94" s="105" t="str">
        <f t="shared" si="8"/>
        <v/>
      </c>
      <c r="F94" s="105">
        <v>90</v>
      </c>
      <c r="G94" t="str">
        <f t="shared" si="9"/>
        <v/>
      </c>
      <c r="H94" t="str">
        <f t="shared" si="10"/>
        <v/>
      </c>
      <c r="I94" t="str">
        <f t="shared" si="11"/>
        <v/>
      </c>
      <c r="J94" s="114" t="str">
        <f t="shared" si="14"/>
        <v/>
      </c>
    </row>
    <row r="95" spans="1:10">
      <c r="A95" t="str">
        <f t="shared" si="12"/>
        <v/>
      </c>
      <c r="B95">
        <f>'Option 1'!D103</f>
        <v>91</v>
      </c>
      <c r="C95" s="37" t="str">
        <f>IF('Option 1'!AD103="","",'Option 1'!AD103)</f>
        <v/>
      </c>
      <c r="D95" t="str">
        <f t="shared" si="13"/>
        <v/>
      </c>
      <c r="E95" s="105" t="str">
        <f t="shared" si="8"/>
        <v/>
      </c>
      <c r="F95" s="105">
        <v>91</v>
      </c>
      <c r="G95" t="str">
        <f t="shared" si="9"/>
        <v/>
      </c>
      <c r="H95" t="str">
        <f t="shared" si="10"/>
        <v/>
      </c>
      <c r="I95" t="str">
        <f t="shared" si="11"/>
        <v/>
      </c>
      <c r="J95" s="114" t="str">
        <f t="shared" si="14"/>
        <v/>
      </c>
    </row>
    <row r="96" spans="1:10">
      <c r="A96" t="str">
        <f t="shared" si="12"/>
        <v/>
      </c>
      <c r="B96">
        <f>'Option 1'!D104</f>
        <v>92</v>
      </c>
      <c r="C96" s="37" t="str">
        <f>IF('Option 1'!AD104="","",'Option 1'!AD104)</f>
        <v/>
      </c>
      <c r="D96" t="str">
        <f t="shared" si="13"/>
        <v/>
      </c>
      <c r="E96" s="105" t="str">
        <f t="shared" si="8"/>
        <v/>
      </c>
      <c r="F96" s="105">
        <v>92</v>
      </c>
      <c r="G96" t="str">
        <f t="shared" si="9"/>
        <v/>
      </c>
      <c r="H96" t="str">
        <f t="shared" si="10"/>
        <v/>
      </c>
      <c r="I96" t="str">
        <f t="shared" si="11"/>
        <v/>
      </c>
      <c r="J96" s="114" t="str">
        <f t="shared" si="14"/>
        <v/>
      </c>
    </row>
    <row r="97" spans="1:10">
      <c r="A97" t="str">
        <f t="shared" si="12"/>
        <v/>
      </c>
      <c r="B97">
        <f>'Option 1'!D105</f>
        <v>93</v>
      </c>
      <c r="C97" s="37" t="str">
        <f>IF('Option 1'!AD105="","",'Option 1'!AD105)</f>
        <v/>
      </c>
      <c r="D97" t="str">
        <f t="shared" si="13"/>
        <v/>
      </c>
      <c r="E97" s="105" t="str">
        <f t="shared" si="8"/>
        <v/>
      </c>
      <c r="F97" s="105">
        <v>93</v>
      </c>
      <c r="G97" t="str">
        <f t="shared" si="9"/>
        <v/>
      </c>
      <c r="H97" t="str">
        <f t="shared" si="10"/>
        <v/>
      </c>
      <c r="I97" t="str">
        <f t="shared" si="11"/>
        <v/>
      </c>
      <c r="J97" s="114" t="str">
        <f t="shared" si="14"/>
        <v/>
      </c>
    </row>
    <row r="98" spans="1:10">
      <c r="A98" t="str">
        <f t="shared" si="12"/>
        <v/>
      </c>
      <c r="B98">
        <f>'Option 1'!D106</f>
        <v>94</v>
      </c>
      <c r="C98" s="37" t="str">
        <f>IF('Option 1'!AD106="","",'Option 1'!AD106)</f>
        <v/>
      </c>
      <c r="D98" t="str">
        <f t="shared" si="13"/>
        <v/>
      </c>
      <c r="E98" s="105" t="str">
        <f t="shared" si="8"/>
        <v/>
      </c>
      <c r="F98" s="105">
        <v>94</v>
      </c>
      <c r="G98" t="str">
        <f t="shared" si="9"/>
        <v/>
      </c>
      <c r="H98" t="str">
        <f t="shared" si="10"/>
        <v/>
      </c>
      <c r="I98" t="str">
        <f t="shared" si="11"/>
        <v/>
      </c>
      <c r="J98" s="114" t="str">
        <f t="shared" si="14"/>
        <v/>
      </c>
    </row>
    <row r="99" spans="1:10">
      <c r="A99" t="str">
        <f t="shared" si="12"/>
        <v/>
      </c>
      <c r="B99">
        <f>'Option 1'!D107</f>
        <v>95</v>
      </c>
      <c r="C99" s="37" t="str">
        <f>IF('Option 1'!AD107="","",'Option 1'!AD107)</f>
        <v/>
      </c>
      <c r="D99" t="str">
        <f t="shared" si="13"/>
        <v/>
      </c>
      <c r="E99" s="105" t="str">
        <f t="shared" si="8"/>
        <v/>
      </c>
      <c r="F99" s="105">
        <v>95</v>
      </c>
      <c r="G99" t="str">
        <f t="shared" si="9"/>
        <v/>
      </c>
      <c r="H99" t="str">
        <f t="shared" si="10"/>
        <v/>
      </c>
      <c r="I99" t="str">
        <f t="shared" si="11"/>
        <v/>
      </c>
      <c r="J99" s="114" t="str">
        <f t="shared" si="14"/>
        <v/>
      </c>
    </row>
    <row r="100" spans="1:10">
      <c r="A100" t="str">
        <f t="shared" si="12"/>
        <v/>
      </c>
      <c r="B100">
        <f>'Option 1'!D108</f>
        <v>96</v>
      </c>
      <c r="C100" s="37" t="str">
        <f>IF('Option 1'!AD108="","",'Option 1'!AD108)</f>
        <v/>
      </c>
      <c r="D100" t="str">
        <f t="shared" si="13"/>
        <v/>
      </c>
      <c r="E100" s="105" t="str">
        <f t="shared" si="8"/>
        <v/>
      </c>
      <c r="F100" s="105">
        <v>96</v>
      </c>
      <c r="G100" t="str">
        <f t="shared" si="9"/>
        <v/>
      </c>
      <c r="H100" t="str">
        <f t="shared" si="10"/>
        <v/>
      </c>
      <c r="I100" t="str">
        <f t="shared" si="11"/>
        <v/>
      </c>
      <c r="J100" s="114" t="str">
        <f t="shared" si="14"/>
        <v/>
      </c>
    </row>
    <row r="101" spans="1:10">
      <c r="A101" t="str">
        <f t="shared" si="12"/>
        <v/>
      </c>
      <c r="B101">
        <f>'Option 1'!D109</f>
        <v>97</v>
      </c>
      <c r="C101" s="37" t="str">
        <f>IF('Option 1'!AD109="","",'Option 1'!AD109)</f>
        <v/>
      </c>
      <c r="D101" t="str">
        <f t="shared" si="13"/>
        <v/>
      </c>
      <c r="E101" s="105" t="str">
        <f t="shared" si="8"/>
        <v/>
      </c>
      <c r="F101" s="105">
        <v>97</v>
      </c>
      <c r="G101" t="str">
        <f t="shared" si="9"/>
        <v/>
      </c>
      <c r="H101" t="str">
        <f t="shared" si="10"/>
        <v/>
      </c>
      <c r="I101" t="str">
        <f t="shared" si="11"/>
        <v/>
      </c>
      <c r="J101" s="114" t="str">
        <f t="shared" si="14"/>
        <v/>
      </c>
    </row>
    <row r="102" spans="1:10">
      <c r="A102" t="str">
        <f t="shared" si="12"/>
        <v/>
      </c>
      <c r="B102">
        <f>'Option 1'!D110</f>
        <v>98</v>
      </c>
      <c r="C102" s="37" t="str">
        <f>IF('Option 1'!AD110="","",'Option 1'!AD110)</f>
        <v/>
      </c>
      <c r="D102" t="str">
        <f t="shared" si="13"/>
        <v/>
      </c>
      <c r="E102" s="105" t="str">
        <f t="shared" si="8"/>
        <v/>
      </c>
      <c r="F102" s="105">
        <v>98</v>
      </c>
      <c r="G102" t="str">
        <f t="shared" si="9"/>
        <v/>
      </c>
      <c r="H102" t="str">
        <f t="shared" si="10"/>
        <v/>
      </c>
      <c r="I102" t="str">
        <f t="shared" si="11"/>
        <v/>
      </c>
      <c r="J102" s="114" t="str">
        <f t="shared" si="14"/>
        <v/>
      </c>
    </row>
    <row r="103" spans="1:10">
      <c r="A103" t="str">
        <f t="shared" si="12"/>
        <v/>
      </c>
      <c r="B103">
        <f>'Option 1'!D111</f>
        <v>99</v>
      </c>
      <c r="C103" s="37" t="str">
        <f>IF('Option 1'!AD111="","",'Option 1'!AD111)</f>
        <v/>
      </c>
      <c r="D103" t="str">
        <f t="shared" si="13"/>
        <v/>
      </c>
      <c r="E103" s="105" t="str">
        <f t="shared" si="8"/>
        <v/>
      </c>
      <c r="F103" s="105">
        <v>99</v>
      </c>
      <c r="G103" t="str">
        <f t="shared" si="9"/>
        <v/>
      </c>
      <c r="H103" t="str">
        <f t="shared" si="10"/>
        <v/>
      </c>
      <c r="I103" t="str">
        <f t="shared" si="11"/>
        <v/>
      </c>
      <c r="J103" s="114" t="str">
        <f t="shared" si="14"/>
        <v/>
      </c>
    </row>
    <row r="104" spans="1:10">
      <c r="A104" t="str">
        <f t="shared" si="12"/>
        <v/>
      </c>
      <c r="B104">
        <f>'Option 1'!D112</f>
        <v>100</v>
      </c>
      <c r="C104" s="37" t="str">
        <f>IF('Option 1'!AD112="","",'Option 1'!AD112)</f>
        <v/>
      </c>
      <c r="D104" t="str">
        <f t="shared" si="13"/>
        <v/>
      </c>
      <c r="E104" s="105" t="str">
        <f t="shared" si="8"/>
        <v/>
      </c>
      <c r="F104" s="105">
        <v>100</v>
      </c>
      <c r="G104" t="str">
        <f t="shared" si="9"/>
        <v/>
      </c>
      <c r="H104" t="str">
        <f t="shared" si="10"/>
        <v/>
      </c>
      <c r="I104" t="str">
        <f t="shared" si="11"/>
        <v/>
      </c>
      <c r="J104" s="114" t="str">
        <f t="shared" si="14"/>
        <v/>
      </c>
    </row>
    <row r="105" spans="1:10">
      <c r="A105" t="str">
        <f t="shared" si="12"/>
        <v/>
      </c>
      <c r="B105">
        <f>'Option 1'!D113</f>
        <v>101</v>
      </c>
      <c r="C105" s="37" t="str">
        <f>IF('Option 1'!AD113="","",'Option 1'!AD113)</f>
        <v/>
      </c>
      <c r="D105" t="str">
        <f t="shared" si="13"/>
        <v/>
      </c>
      <c r="E105" s="105" t="str">
        <f t="shared" si="8"/>
        <v/>
      </c>
      <c r="F105" s="105">
        <v>101</v>
      </c>
      <c r="G105" t="str">
        <f t="shared" si="9"/>
        <v/>
      </c>
      <c r="H105" t="str">
        <f t="shared" si="10"/>
        <v/>
      </c>
      <c r="I105" t="str">
        <f t="shared" si="11"/>
        <v/>
      </c>
      <c r="J105" s="114" t="str">
        <f t="shared" si="14"/>
        <v/>
      </c>
    </row>
    <row r="106" spans="1:10">
      <c r="A106" t="str">
        <f t="shared" si="12"/>
        <v/>
      </c>
      <c r="B106">
        <f>'Option 1'!D114</f>
        <v>102</v>
      </c>
      <c r="C106" s="37" t="str">
        <f>IF('Option 1'!AD114="","",'Option 1'!AD114)</f>
        <v/>
      </c>
      <c r="D106" t="str">
        <f t="shared" si="13"/>
        <v/>
      </c>
      <c r="E106" s="105" t="str">
        <f t="shared" si="8"/>
        <v/>
      </c>
      <c r="F106" s="105">
        <v>102</v>
      </c>
      <c r="G106" t="str">
        <f t="shared" si="9"/>
        <v/>
      </c>
      <c r="H106" t="str">
        <f t="shared" si="10"/>
        <v/>
      </c>
      <c r="I106" t="str">
        <f t="shared" si="11"/>
        <v/>
      </c>
      <c r="J106" s="114" t="str">
        <f t="shared" si="14"/>
        <v/>
      </c>
    </row>
    <row r="107" spans="1:10">
      <c r="A107" t="str">
        <f t="shared" si="12"/>
        <v/>
      </c>
      <c r="B107">
        <f>'Option 1'!D115</f>
        <v>103</v>
      </c>
      <c r="C107" s="37" t="str">
        <f>IF('Option 1'!AD115="","",'Option 1'!AD115)</f>
        <v/>
      </c>
      <c r="D107" t="str">
        <f t="shared" si="13"/>
        <v/>
      </c>
      <c r="E107" s="105" t="str">
        <f t="shared" si="8"/>
        <v/>
      </c>
      <c r="F107" s="105">
        <v>103</v>
      </c>
      <c r="G107" t="str">
        <f t="shared" si="9"/>
        <v/>
      </c>
      <c r="H107" t="str">
        <f t="shared" si="10"/>
        <v/>
      </c>
      <c r="I107" t="str">
        <f t="shared" si="11"/>
        <v/>
      </c>
      <c r="J107" s="114" t="str">
        <f t="shared" si="14"/>
        <v/>
      </c>
    </row>
    <row r="108" spans="1:10">
      <c r="A108" t="str">
        <f t="shared" si="12"/>
        <v/>
      </c>
      <c r="B108">
        <f>'Option 1'!D116</f>
        <v>104</v>
      </c>
      <c r="C108" s="37" t="str">
        <f>IF('Option 1'!AD116="","",'Option 1'!AD116)</f>
        <v/>
      </c>
      <c r="D108" t="str">
        <f t="shared" si="13"/>
        <v/>
      </c>
      <c r="E108" s="105" t="str">
        <f t="shared" si="8"/>
        <v/>
      </c>
      <c r="F108" s="105">
        <v>104</v>
      </c>
      <c r="G108" t="str">
        <f t="shared" si="9"/>
        <v/>
      </c>
      <c r="H108" t="str">
        <f t="shared" si="10"/>
        <v/>
      </c>
      <c r="I108" t="str">
        <f t="shared" si="11"/>
        <v/>
      </c>
      <c r="J108" s="114" t="str">
        <f t="shared" si="14"/>
        <v/>
      </c>
    </row>
    <row r="109" spans="1:10">
      <c r="A109" t="str">
        <f t="shared" si="12"/>
        <v/>
      </c>
      <c r="B109">
        <f>'Option 1'!D117</f>
        <v>105</v>
      </c>
      <c r="C109" s="37" t="str">
        <f>IF('Option 1'!AD117="","",'Option 1'!AD117)</f>
        <v/>
      </c>
      <c r="D109" t="str">
        <f t="shared" si="13"/>
        <v/>
      </c>
      <c r="E109" s="105" t="str">
        <f t="shared" si="8"/>
        <v/>
      </c>
      <c r="F109" s="105">
        <v>105</v>
      </c>
      <c r="G109" t="str">
        <f t="shared" si="9"/>
        <v/>
      </c>
      <c r="H109" t="str">
        <f t="shared" si="10"/>
        <v/>
      </c>
      <c r="I109" t="str">
        <f t="shared" si="11"/>
        <v/>
      </c>
      <c r="J109" s="114" t="str">
        <f t="shared" si="14"/>
        <v/>
      </c>
    </row>
    <row r="110" spans="1:10">
      <c r="A110" t="str">
        <f t="shared" si="12"/>
        <v/>
      </c>
      <c r="B110">
        <f>'Option 1'!D118</f>
        <v>106</v>
      </c>
      <c r="C110" s="37" t="str">
        <f>IF('Option 1'!AD118="","",'Option 1'!AD118)</f>
        <v/>
      </c>
      <c r="D110" t="str">
        <f t="shared" si="13"/>
        <v/>
      </c>
      <c r="E110" s="105" t="str">
        <f t="shared" si="8"/>
        <v/>
      </c>
      <c r="F110" s="105">
        <v>106</v>
      </c>
      <c r="G110" t="str">
        <f t="shared" si="9"/>
        <v/>
      </c>
      <c r="H110" t="str">
        <f t="shared" si="10"/>
        <v/>
      </c>
      <c r="I110" t="str">
        <f t="shared" si="11"/>
        <v/>
      </c>
      <c r="J110" s="114" t="str">
        <f t="shared" si="14"/>
        <v/>
      </c>
    </row>
    <row r="111" spans="1:10">
      <c r="A111" t="str">
        <f t="shared" si="12"/>
        <v/>
      </c>
      <c r="B111">
        <f>'Option 1'!D119</f>
        <v>107</v>
      </c>
      <c r="C111" s="37" t="str">
        <f>IF('Option 1'!AD119="","",'Option 1'!AD119)</f>
        <v/>
      </c>
      <c r="D111" t="str">
        <f t="shared" si="13"/>
        <v/>
      </c>
      <c r="E111" s="105" t="str">
        <f t="shared" si="8"/>
        <v/>
      </c>
      <c r="F111" s="105">
        <v>107</v>
      </c>
      <c r="G111" t="str">
        <f t="shared" si="9"/>
        <v/>
      </c>
      <c r="H111" t="str">
        <f t="shared" si="10"/>
        <v/>
      </c>
      <c r="I111" t="str">
        <f t="shared" si="11"/>
        <v/>
      </c>
      <c r="J111" s="114" t="str">
        <f t="shared" si="14"/>
        <v/>
      </c>
    </row>
    <row r="112" spans="1:10">
      <c r="A112" t="str">
        <f t="shared" si="12"/>
        <v/>
      </c>
      <c r="B112">
        <f>'Option 1'!D120</f>
        <v>108</v>
      </c>
      <c r="C112" s="37" t="str">
        <f>IF('Option 1'!AD120="","",'Option 1'!AD120)</f>
        <v/>
      </c>
      <c r="D112" t="str">
        <f t="shared" si="13"/>
        <v/>
      </c>
      <c r="E112" s="105" t="str">
        <f t="shared" si="8"/>
        <v/>
      </c>
      <c r="F112" s="105">
        <v>108</v>
      </c>
      <c r="G112" t="str">
        <f t="shared" si="9"/>
        <v/>
      </c>
      <c r="H112" t="str">
        <f t="shared" si="10"/>
        <v/>
      </c>
      <c r="I112" t="str">
        <f t="shared" si="11"/>
        <v/>
      </c>
      <c r="J112" s="114" t="str">
        <f t="shared" si="14"/>
        <v/>
      </c>
    </row>
    <row r="113" spans="1:10">
      <c r="A113" t="str">
        <f t="shared" si="12"/>
        <v/>
      </c>
      <c r="B113">
        <f>'Option 1'!D121</f>
        <v>109</v>
      </c>
      <c r="C113" s="37" t="str">
        <f>IF('Option 1'!AD121="","",'Option 1'!AD121)</f>
        <v/>
      </c>
      <c r="D113" t="str">
        <f t="shared" si="13"/>
        <v/>
      </c>
      <c r="E113" s="105" t="str">
        <f t="shared" si="8"/>
        <v/>
      </c>
      <c r="F113" s="105">
        <v>109</v>
      </c>
      <c r="G113" t="str">
        <f t="shared" si="9"/>
        <v/>
      </c>
      <c r="H113" t="str">
        <f t="shared" si="10"/>
        <v/>
      </c>
      <c r="I113" t="str">
        <f t="shared" si="11"/>
        <v/>
      </c>
      <c r="J113" s="114" t="str">
        <f t="shared" si="14"/>
        <v/>
      </c>
    </row>
    <row r="114" spans="1:10">
      <c r="A114" t="str">
        <f t="shared" si="12"/>
        <v/>
      </c>
      <c r="B114">
        <f>'Option 1'!D122</f>
        <v>110</v>
      </c>
      <c r="C114" s="37" t="str">
        <f>IF('Option 1'!AD122="","",'Option 1'!AD122)</f>
        <v/>
      </c>
      <c r="D114" t="str">
        <f t="shared" si="13"/>
        <v/>
      </c>
      <c r="E114" s="105" t="str">
        <f t="shared" si="8"/>
        <v/>
      </c>
      <c r="F114" s="105">
        <v>110</v>
      </c>
      <c r="G114" t="str">
        <f t="shared" si="9"/>
        <v/>
      </c>
      <c r="H114" t="str">
        <f t="shared" si="10"/>
        <v/>
      </c>
      <c r="I114" t="str">
        <f t="shared" si="11"/>
        <v/>
      </c>
      <c r="J114" s="114" t="str">
        <f t="shared" si="14"/>
        <v/>
      </c>
    </row>
    <row r="115" spans="1:10">
      <c r="A115" t="str">
        <f t="shared" si="12"/>
        <v/>
      </c>
      <c r="B115">
        <f>'Option 1'!D123</f>
        <v>111</v>
      </c>
      <c r="C115" s="37" t="str">
        <f>IF('Option 1'!AD123="","",'Option 1'!AD123)</f>
        <v/>
      </c>
      <c r="D115" t="str">
        <f t="shared" si="13"/>
        <v/>
      </c>
      <c r="E115" s="105" t="str">
        <f t="shared" si="8"/>
        <v/>
      </c>
      <c r="F115" s="105">
        <v>111</v>
      </c>
      <c r="G115" t="str">
        <f t="shared" si="9"/>
        <v/>
      </c>
      <c r="H115" t="str">
        <f t="shared" si="10"/>
        <v/>
      </c>
      <c r="I115" t="str">
        <f t="shared" si="11"/>
        <v/>
      </c>
      <c r="J115" s="114" t="str">
        <f t="shared" si="14"/>
        <v/>
      </c>
    </row>
    <row r="116" spans="1:10">
      <c r="A116" t="str">
        <f t="shared" si="12"/>
        <v/>
      </c>
      <c r="B116">
        <f>'Option 1'!D124</f>
        <v>112</v>
      </c>
      <c r="C116" s="37" t="str">
        <f>IF('Option 1'!AD124="","",'Option 1'!AD124)</f>
        <v/>
      </c>
      <c r="D116" t="str">
        <f t="shared" si="13"/>
        <v/>
      </c>
      <c r="E116" s="105" t="str">
        <f t="shared" si="8"/>
        <v/>
      </c>
      <c r="F116" s="105">
        <v>112</v>
      </c>
      <c r="G116" t="str">
        <f t="shared" si="9"/>
        <v/>
      </c>
      <c r="H116" t="str">
        <f t="shared" si="10"/>
        <v/>
      </c>
      <c r="I116" t="str">
        <f t="shared" si="11"/>
        <v/>
      </c>
      <c r="J116" s="114" t="str">
        <f t="shared" si="14"/>
        <v/>
      </c>
    </row>
    <row r="117" spans="1:10">
      <c r="A117" t="str">
        <f t="shared" si="12"/>
        <v/>
      </c>
      <c r="B117">
        <f>'Option 1'!D125</f>
        <v>113</v>
      </c>
      <c r="C117" s="37" t="str">
        <f>IF('Option 1'!AD125="","",'Option 1'!AD125)</f>
        <v/>
      </c>
      <c r="D117" t="str">
        <f t="shared" si="13"/>
        <v/>
      </c>
      <c r="E117" s="105" t="str">
        <f t="shared" si="8"/>
        <v/>
      </c>
      <c r="F117" s="105">
        <v>113</v>
      </c>
      <c r="G117" t="str">
        <f t="shared" si="9"/>
        <v/>
      </c>
      <c r="H117" t="str">
        <f t="shared" si="10"/>
        <v/>
      </c>
      <c r="I117" t="str">
        <f t="shared" si="11"/>
        <v/>
      </c>
      <c r="J117" s="114" t="str">
        <f t="shared" si="14"/>
        <v/>
      </c>
    </row>
    <row r="118" spans="1:10">
      <c r="A118" t="str">
        <f t="shared" si="12"/>
        <v/>
      </c>
      <c r="B118">
        <f>'Option 1'!D126</f>
        <v>114</v>
      </c>
      <c r="C118" s="37" t="str">
        <f>IF('Option 1'!AD126="","",'Option 1'!AD126)</f>
        <v/>
      </c>
      <c r="D118" t="str">
        <f t="shared" si="13"/>
        <v/>
      </c>
      <c r="E118" s="105" t="str">
        <f t="shared" si="8"/>
        <v/>
      </c>
      <c r="F118" s="105">
        <v>114</v>
      </c>
      <c r="G118" t="str">
        <f t="shared" si="9"/>
        <v/>
      </c>
      <c r="H118" t="str">
        <f t="shared" si="10"/>
        <v/>
      </c>
      <c r="I118" t="str">
        <f t="shared" si="11"/>
        <v/>
      </c>
      <c r="J118" s="114" t="str">
        <f t="shared" si="14"/>
        <v/>
      </c>
    </row>
    <row r="119" spans="1:10">
      <c r="A119" t="str">
        <f t="shared" si="12"/>
        <v/>
      </c>
      <c r="B119">
        <f>'Option 1'!D127</f>
        <v>115</v>
      </c>
      <c r="C119" s="37" t="str">
        <f>IF('Option 1'!AD127="","",'Option 1'!AD127)</f>
        <v/>
      </c>
      <c r="D119" t="str">
        <f t="shared" si="13"/>
        <v/>
      </c>
      <c r="E119" s="105" t="str">
        <f t="shared" si="8"/>
        <v/>
      </c>
      <c r="F119" s="105">
        <v>115</v>
      </c>
      <c r="G119" t="str">
        <f t="shared" si="9"/>
        <v/>
      </c>
      <c r="H119" t="str">
        <f t="shared" si="10"/>
        <v/>
      </c>
      <c r="I119" t="str">
        <f t="shared" si="11"/>
        <v/>
      </c>
      <c r="J119" s="114" t="str">
        <f t="shared" si="14"/>
        <v/>
      </c>
    </row>
    <row r="120" spans="1:10">
      <c r="A120" t="str">
        <f t="shared" si="12"/>
        <v/>
      </c>
      <c r="B120">
        <f>'Option 1'!D128</f>
        <v>116</v>
      </c>
      <c r="C120" s="37" t="str">
        <f>IF('Option 1'!AD128="","",'Option 1'!AD128)</f>
        <v/>
      </c>
      <c r="D120" t="str">
        <f t="shared" si="13"/>
        <v/>
      </c>
      <c r="E120" s="105" t="str">
        <f t="shared" si="8"/>
        <v/>
      </c>
      <c r="F120" s="105">
        <v>116</v>
      </c>
      <c r="G120" t="str">
        <f t="shared" si="9"/>
        <v/>
      </c>
      <c r="H120" t="str">
        <f t="shared" si="10"/>
        <v/>
      </c>
      <c r="I120" t="str">
        <f t="shared" si="11"/>
        <v/>
      </c>
      <c r="J120" s="114" t="str">
        <f t="shared" si="14"/>
        <v/>
      </c>
    </row>
    <row r="121" spans="1:10">
      <c r="A121" t="str">
        <f t="shared" si="12"/>
        <v/>
      </c>
      <c r="B121">
        <f>'Option 1'!D129</f>
        <v>117</v>
      </c>
      <c r="C121" s="37" t="str">
        <f>IF('Option 1'!AD129="","",'Option 1'!AD129)</f>
        <v/>
      </c>
      <c r="D121" t="str">
        <f t="shared" si="13"/>
        <v/>
      </c>
      <c r="E121" s="105" t="str">
        <f t="shared" si="8"/>
        <v/>
      </c>
      <c r="F121" s="105">
        <v>117</v>
      </c>
      <c r="G121" t="str">
        <f t="shared" si="9"/>
        <v/>
      </c>
      <c r="H121" t="str">
        <f t="shared" si="10"/>
        <v/>
      </c>
      <c r="I121" t="str">
        <f t="shared" si="11"/>
        <v/>
      </c>
      <c r="J121" s="114" t="str">
        <f t="shared" si="14"/>
        <v/>
      </c>
    </row>
    <row r="122" spans="1:10">
      <c r="A122" t="str">
        <f t="shared" si="12"/>
        <v/>
      </c>
      <c r="B122">
        <f>'Option 1'!D130</f>
        <v>118</v>
      </c>
      <c r="C122" s="37" t="str">
        <f>IF('Option 1'!AD130="","",'Option 1'!AD130)</f>
        <v/>
      </c>
      <c r="D122" t="str">
        <f t="shared" si="13"/>
        <v/>
      </c>
      <c r="E122" s="105" t="str">
        <f t="shared" si="8"/>
        <v/>
      </c>
      <c r="F122" s="105">
        <v>118</v>
      </c>
      <c r="G122" t="str">
        <f t="shared" si="9"/>
        <v/>
      </c>
      <c r="H122" t="str">
        <f t="shared" si="10"/>
        <v/>
      </c>
      <c r="I122" t="str">
        <f t="shared" si="11"/>
        <v/>
      </c>
      <c r="J122" s="114" t="str">
        <f t="shared" si="14"/>
        <v/>
      </c>
    </row>
    <row r="123" spans="1:10">
      <c r="A123" t="str">
        <f t="shared" si="12"/>
        <v/>
      </c>
      <c r="B123">
        <f>'Option 1'!D131</f>
        <v>119</v>
      </c>
      <c r="C123" s="37" t="str">
        <f>IF('Option 1'!AD131="","",'Option 1'!AD131)</f>
        <v/>
      </c>
      <c r="D123" t="str">
        <f t="shared" si="13"/>
        <v/>
      </c>
      <c r="E123" s="105" t="str">
        <f t="shared" si="8"/>
        <v/>
      </c>
      <c r="F123" s="105">
        <v>119</v>
      </c>
      <c r="G123" t="str">
        <f t="shared" si="9"/>
        <v/>
      </c>
      <c r="H123" t="str">
        <f t="shared" si="10"/>
        <v/>
      </c>
      <c r="I123" t="str">
        <f t="shared" si="11"/>
        <v/>
      </c>
      <c r="J123" s="114" t="str">
        <f t="shared" si="14"/>
        <v/>
      </c>
    </row>
    <row r="124" spans="1:10">
      <c r="A124" t="str">
        <f t="shared" si="12"/>
        <v/>
      </c>
      <c r="B124">
        <f>'Option 1'!D132</f>
        <v>120</v>
      </c>
      <c r="C124" s="37" t="str">
        <f>IF('Option 1'!AD132="","",'Option 1'!AD132)</f>
        <v/>
      </c>
      <c r="D124" t="str">
        <f t="shared" si="13"/>
        <v/>
      </c>
      <c r="E124" s="105" t="str">
        <f t="shared" si="8"/>
        <v/>
      </c>
      <c r="F124" s="105">
        <v>120</v>
      </c>
      <c r="G124" t="str">
        <f t="shared" si="9"/>
        <v/>
      </c>
      <c r="H124" t="str">
        <f t="shared" si="10"/>
        <v/>
      </c>
      <c r="I124" t="str">
        <f t="shared" si="11"/>
        <v/>
      </c>
      <c r="J124" s="114" t="str">
        <f t="shared" si="14"/>
        <v/>
      </c>
    </row>
    <row r="125" spans="1:10">
      <c r="A125" t="str">
        <f t="shared" si="12"/>
        <v/>
      </c>
      <c r="B125">
        <f>'Option 1'!D133</f>
        <v>121</v>
      </c>
      <c r="C125" s="37" t="str">
        <f>IF('Option 1'!AD133="","",'Option 1'!AD133)</f>
        <v/>
      </c>
      <c r="D125" t="str">
        <f t="shared" si="13"/>
        <v/>
      </c>
      <c r="E125" s="105" t="str">
        <f t="shared" si="8"/>
        <v/>
      </c>
      <c r="F125" s="105">
        <v>121</v>
      </c>
      <c r="G125" t="str">
        <f t="shared" si="9"/>
        <v/>
      </c>
      <c r="H125" t="str">
        <f t="shared" si="10"/>
        <v/>
      </c>
      <c r="I125" t="str">
        <f t="shared" si="11"/>
        <v/>
      </c>
      <c r="J125" s="114" t="str">
        <f t="shared" si="14"/>
        <v/>
      </c>
    </row>
    <row r="126" spans="1:10">
      <c r="A126" t="str">
        <f t="shared" si="12"/>
        <v/>
      </c>
      <c r="B126">
        <f>'Option 1'!D134</f>
        <v>122</v>
      </c>
      <c r="C126" s="37" t="str">
        <f>IF('Option 1'!AD134="","",'Option 1'!AD134)</f>
        <v/>
      </c>
      <c r="D126" t="str">
        <f t="shared" si="13"/>
        <v/>
      </c>
      <c r="E126" s="105" t="str">
        <f t="shared" si="8"/>
        <v/>
      </c>
      <c r="F126" s="105">
        <v>122</v>
      </c>
      <c r="G126" t="str">
        <f t="shared" si="9"/>
        <v/>
      </c>
      <c r="H126" t="str">
        <f t="shared" si="10"/>
        <v/>
      </c>
      <c r="I126" t="str">
        <f t="shared" si="11"/>
        <v/>
      </c>
      <c r="J126" s="114" t="str">
        <f t="shared" si="14"/>
        <v/>
      </c>
    </row>
    <row r="127" spans="1:10">
      <c r="A127" t="str">
        <f t="shared" si="12"/>
        <v/>
      </c>
      <c r="B127">
        <f>'Option 1'!D135</f>
        <v>123</v>
      </c>
      <c r="C127" s="37" t="str">
        <f>IF('Option 1'!AD135="","",'Option 1'!AD135)</f>
        <v/>
      </c>
      <c r="D127" t="str">
        <f t="shared" si="13"/>
        <v/>
      </c>
      <c r="E127" s="105" t="str">
        <f t="shared" si="8"/>
        <v/>
      </c>
      <c r="F127" s="105">
        <v>123</v>
      </c>
      <c r="G127" t="str">
        <f t="shared" si="9"/>
        <v/>
      </c>
      <c r="H127" t="str">
        <f t="shared" si="10"/>
        <v/>
      </c>
      <c r="I127" t="str">
        <f t="shared" si="11"/>
        <v/>
      </c>
      <c r="J127" s="114" t="str">
        <f t="shared" si="14"/>
        <v/>
      </c>
    </row>
    <row r="128" spans="1:10">
      <c r="A128" t="str">
        <f t="shared" si="12"/>
        <v/>
      </c>
      <c r="B128">
        <f>'Option 1'!D136</f>
        <v>124</v>
      </c>
      <c r="C128" s="37" t="str">
        <f>IF('Option 1'!AD136="","",'Option 1'!AD136)</f>
        <v/>
      </c>
      <c r="D128" t="str">
        <f t="shared" si="13"/>
        <v/>
      </c>
      <c r="E128" s="105" t="str">
        <f t="shared" si="8"/>
        <v/>
      </c>
      <c r="F128" s="105">
        <v>124</v>
      </c>
      <c r="G128" t="str">
        <f t="shared" si="9"/>
        <v/>
      </c>
      <c r="H128" t="str">
        <f t="shared" si="10"/>
        <v/>
      </c>
      <c r="I128" t="str">
        <f t="shared" si="11"/>
        <v/>
      </c>
      <c r="J128" s="114" t="str">
        <f t="shared" si="14"/>
        <v/>
      </c>
    </row>
    <row r="129" spans="1:10">
      <c r="A129" t="str">
        <f t="shared" si="12"/>
        <v/>
      </c>
      <c r="B129">
        <f>'Option 1'!D137</f>
        <v>125</v>
      </c>
      <c r="C129" s="37" t="str">
        <f>IF('Option 1'!AD137="","",'Option 1'!AD137)</f>
        <v/>
      </c>
      <c r="D129" t="str">
        <f t="shared" si="13"/>
        <v/>
      </c>
      <c r="E129" s="105" t="str">
        <f t="shared" si="8"/>
        <v/>
      </c>
      <c r="F129" s="105">
        <v>125</v>
      </c>
      <c r="G129" t="str">
        <f t="shared" si="9"/>
        <v/>
      </c>
      <c r="H129" t="str">
        <f t="shared" si="10"/>
        <v/>
      </c>
      <c r="I129" t="str">
        <f t="shared" si="11"/>
        <v/>
      </c>
      <c r="J129" s="114" t="str">
        <f t="shared" si="14"/>
        <v/>
      </c>
    </row>
    <row r="130" spans="1:10">
      <c r="A130" t="str">
        <f t="shared" si="12"/>
        <v/>
      </c>
      <c r="B130">
        <f>'Option 1'!D138</f>
        <v>126</v>
      </c>
      <c r="C130" s="37" t="str">
        <f>IF('Option 1'!AD138="","",'Option 1'!AD138)</f>
        <v/>
      </c>
      <c r="D130" t="str">
        <f t="shared" si="13"/>
        <v/>
      </c>
      <c r="E130" s="105" t="str">
        <f t="shared" si="8"/>
        <v/>
      </c>
      <c r="F130" s="105">
        <v>126</v>
      </c>
      <c r="G130" t="str">
        <f t="shared" si="9"/>
        <v/>
      </c>
      <c r="H130" t="str">
        <f t="shared" si="10"/>
        <v/>
      </c>
      <c r="I130" t="str">
        <f t="shared" si="11"/>
        <v/>
      </c>
      <c r="J130" s="114" t="str">
        <f t="shared" si="14"/>
        <v/>
      </c>
    </row>
    <row r="131" spans="1:10">
      <c r="A131" t="str">
        <f t="shared" si="12"/>
        <v/>
      </c>
      <c r="B131">
        <f>'Option 1'!D139</f>
        <v>127</v>
      </c>
      <c r="C131" s="37" t="str">
        <f>IF('Option 1'!AD139="","",'Option 1'!AD139)</f>
        <v/>
      </c>
      <c r="D131" t="str">
        <f t="shared" si="13"/>
        <v/>
      </c>
      <c r="E131" s="105" t="str">
        <f t="shared" si="8"/>
        <v/>
      </c>
      <c r="F131" s="105">
        <v>127</v>
      </c>
      <c r="G131" t="str">
        <f t="shared" si="9"/>
        <v/>
      </c>
      <c r="H131" t="str">
        <f t="shared" si="10"/>
        <v/>
      </c>
      <c r="I131" t="str">
        <f t="shared" si="11"/>
        <v/>
      </c>
      <c r="J131" s="114" t="str">
        <f t="shared" si="14"/>
        <v/>
      </c>
    </row>
    <row r="132" spans="1:10">
      <c r="A132" t="str">
        <f t="shared" si="12"/>
        <v/>
      </c>
      <c r="B132">
        <f>'Option 1'!D140</f>
        <v>128</v>
      </c>
      <c r="C132" s="37" t="str">
        <f>IF('Option 1'!AD140="","",'Option 1'!AD140)</f>
        <v/>
      </c>
      <c r="D132" t="str">
        <f t="shared" si="13"/>
        <v/>
      </c>
      <c r="E132" s="105" t="str">
        <f t="shared" si="8"/>
        <v/>
      </c>
      <c r="F132" s="105">
        <v>128</v>
      </c>
      <c r="G132" t="str">
        <f t="shared" si="9"/>
        <v/>
      </c>
      <c r="H132" t="str">
        <f t="shared" si="10"/>
        <v/>
      </c>
      <c r="I132" t="str">
        <f t="shared" si="11"/>
        <v/>
      </c>
      <c r="J132" s="114" t="str">
        <f t="shared" si="14"/>
        <v/>
      </c>
    </row>
    <row r="133" spans="1:10">
      <c r="A133" t="str">
        <f t="shared" si="12"/>
        <v/>
      </c>
      <c r="B133">
        <f>'Option 1'!D141</f>
        <v>129</v>
      </c>
      <c r="C133" s="37" t="str">
        <f>IF('Option 1'!AD141="","",'Option 1'!AD141)</f>
        <v/>
      </c>
      <c r="D133" t="str">
        <f t="shared" si="13"/>
        <v/>
      </c>
      <c r="E133" s="105" t="str">
        <f t="shared" ref="E133:E196" si="15">IF(ISNA(VLOOKUP(B133,BCFast,2,FALSE)),"",VLOOKUP(B133,BCFast,2,FALSE))</f>
        <v/>
      </c>
      <c r="F133" s="105">
        <v>129</v>
      </c>
      <c r="G133" t="str">
        <f t="shared" ref="G133:G196" si="16">IF(ISERROR(VLOOKUP($F133,Result,9,FALSE)=""),"",VLOOKUP($F133,Result,9,FALSE))</f>
        <v/>
      </c>
      <c r="H133" t="str">
        <f t="shared" ref="H133:H196" si="17">IF(ISERROR(VLOOKUP($F133,Result,6,FALSE)),"",VLOOKUP($F133,Result,6,FALSE))</f>
        <v/>
      </c>
      <c r="I133" t="str">
        <f t="shared" ref="I133:I196" si="18">IF(ISERROR(VLOOKUP($F133,Result,17,FALSE)),"",(VLOOKUP($F133,Result,17,FALSE)))</f>
        <v/>
      </c>
      <c r="J133" s="114" t="str">
        <f t="shared" si="14"/>
        <v/>
      </c>
    </row>
    <row r="134" spans="1:10">
      <c r="A134" t="str">
        <f t="shared" ref="A134:A197" si="19">IF(D134="","",RANK(D134,$D$5:$D$204,1))</f>
        <v/>
      </c>
      <c r="B134">
        <f>'Option 1'!D142</f>
        <v>130</v>
      </c>
      <c r="C134" s="37" t="str">
        <f>IF('Option 1'!AD142="","",'Option 1'!AD142)</f>
        <v/>
      </c>
      <c r="D134" t="str">
        <f t="shared" ref="D134:D154" si="20">IF(C134="","",C134+(0.000000001*ROW()))</f>
        <v/>
      </c>
      <c r="E134" s="105" t="str">
        <f t="shared" si="15"/>
        <v/>
      </c>
      <c r="F134" s="105">
        <v>130</v>
      </c>
      <c r="G134" t="str">
        <f t="shared" si="16"/>
        <v/>
      </c>
      <c r="H134" t="str">
        <f t="shared" si="17"/>
        <v/>
      </c>
      <c r="I134" t="str">
        <f t="shared" si="18"/>
        <v/>
      </c>
      <c r="J134" s="114" t="str">
        <f t="shared" ref="J134:J197" si="21">IF(ISERROR(VLOOKUP(F134,Result,30,FALSE)),"",(VLOOKUP(F134,Result,30,FALSE)))</f>
        <v/>
      </c>
    </row>
    <row r="135" spans="1:10">
      <c r="A135" t="str">
        <f t="shared" si="19"/>
        <v/>
      </c>
      <c r="B135">
        <f>'Option 1'!D143</f>
        <v>131</v>
      </c>
      <c r="C135" s="37" t="str">
        <f>IF('Option 1'!AD143="","",'Option 1'!AD143)</f>
        <v/>
      </c>
      <c r="D135" t="str">
        <f t="shared" si="20"/>
        <v/>
      </c>
      <c r="E135" s="105" t="str">
        <f t="shared" si="15"/>
        <v/>
      </c>
      <c r="F135" s="105">
        <v>131</v>
      </c>
      <c r="G135" t="str">
        <f t="shared" si="16"/>
        <v/>
      </c>
      <c r="H135" t="str">
        <f t="shared" si="17"/>
        <v/>
      </c>
      <c r="I135" t="str">
        <f t="shared" si="18"/>
        <v/>
      </c>
      <c r="J135" s="114" t="str">
        <f t="shared" si="21"/>
        <v/>
      </c>
    </row>
    <row r="136" spans="1:10">
      <c r="A136" t="str">
        <f t="shared" si="19"/>
        <v/>
      </c>
      <c r="B136">
        <f>'Option 1'!D144</f>
        <v>132</v>
      </c>
      <c r="C136" s="37" t="str">
        <f>IF('Option 1'!AD144="","",'Option 1'!AD144)</f>
        <v/>
      </c>
      <c r="D136" t="str">
        <f t="shared" si="20"/>
        <v/>
      </c>
      <c r="E136" s="105" t="str">
        <f t="shared" si="15"/>
        <v/>
      </c>
      <c r="F136" s="105">
        <v>132</v>
      </c>
      <c r="G136" t="str">
        <f t="shared" si="16"/>
        <v/>
      </c>
      <c r="H136" t="str">
        <f t="shared" si="17"/>
        <v/>
      </c>
      <c r="I136" t="str">
        <f t="shared" si="18"/>
        <v/>
      </c>
      <c r="J136" s="114" t="str">
        <f t="shared" si="21"/>
        <v/>
      </c>
    </row>
    <row r="137" spans="1:10">
      <c r="A137" t="str">
        <f t="shared" si="19"/>
        <v/>
      </c>
      <c r="B137">
        <f>'Option 1'!D145</f>
        <v>133</v>
      </c>
      <c r="C137" s="37" t="str">
        <f>IF('Option 1'!AD145="","",'Option 1'!AD145)</f>
        <v/>
      </c>
      <c r="D137" t="str">
        <f t="shared" si="20"/>
        <v/>
      </c>
      <c r="E137" s="105" t="str">
        <f t="shared" si="15"/>
        <v/>
      </c>
      <c r="F137" s="105">
        <v>133</v>
      </c>
      <c r="G137" t="str">
        <f t="shared" si="16"/>
        <v/>
      </c>
      <c r="H137" t="str">
        <f t="shared" si="17"/>
        <v/>
      </c>
      <c r="I137" t="str">
        <f t="shared" si="18"/>
        <v/>
      </c>
      <c r="J137" s="114" t="str">
        <f t="shared" si="21"/>
        <v/>
      </c>
    </row>
    <row r="138" spans="1:10">
      <c r="A138" t="str">
        <f t="shared" si="19"/>
        <v/>
      </c>
      <c r="B138">
        <f>'Option 1'!D146</f>
        <v>134</v>
      </c>
      <c r="C138" s="37" t="str">
        <f>IF('Option 1'!AD146="","",'Option 1'!AD146)</f>
        <v/>
      </c>
      <c r="D138" t="str">
        <f t="shared" si="20"/>
        <v/>
      </c>
      <c r="E138" s="105" t="str">
        <f t="shared" si="15"/>
        <v/>
      </c>
      <c r="F138" s="105">
        <v>134</v>
      </c>
      <c r="G138" t="str">
        <f t="shared" si="16"/>
        <v/>
      </c>
      <c r="H138" t="str">
        <f t="shared" si="17"/>
        <v/>
      </c>
      <c r="I138" t="str">
        <f t="shared" si="18"/>
        <v/>
      </c>
      <c r="J138" s="114" t="str">
        <f t="shared" si="21"/>
        <v/>
      </c>
    </row>
    <row r="139" spans="1:10">
      <c r="A139" t="str">
        <f t="shared" si="19"/>
        <v/>
      </c>
      <c r="B139">
        <f>'Option 1'!D147</f>
        <v>135</v>
      </c>
      <c r="C139" s="37" t="str">
        <f>IF('Option 1'!AD147="","",'Option 1'!AD147)</f>
        <v/>
      </c>
      <c r="D139" t="str">
        <f t="shared" si="20"/>
        <v/>
      </c>
      <c r="E139" s="105" t="str">
        <f t="shared" si="15"/>
        <v/>
      </c>
      <c r="F139" s="105">
        <v>135</v>
      </c>
      <c r="G139" t="str">
        <f t="shared" si="16"/>
        <v/>
      </c>
      <c r="H139" t="str">
        <f t="shared" si="17"/>
        <v/>
      </c>
      <c r="I139" t="str">
        <f t="shared" si="18"/>
        <v/>
      </c>
      <c r="J139" s="114" t="str">
        <f t="shared" si="21"/>
        <v/>
      </c>
    </row>
    <row r="140" spans="1:10">
      <c r="A140" t="str">
        <f t="shared" si="19"/>
        <v/>
      </c>
      <c r="B140">
        <f>'Option 1'!D148</f>
        <v>136</v>
      </c>
      <c r="C140" s="37" t="str">
        <f>IF('Option 1'!AD148="","",'Option 1'!AD148)</f>
        <v/>
      </c>
      <c r="D140" t="str">
        <f t="shared" si="20"/>
        <v/>
      </c>
      <c r="E140" s="105" t="str">
        <f t="shared" si="15"/>
        <v/>
      </c>
      <c r="F140" s="105">
        <v>136</v>
      </c>
      <c r="G140" t="str">
        <f t="shared" si="16"/>
        <v/>
      </c>
      <c r="H140" t="str">
        <f t="shared" si="17"/>
        <v/>
      </c>
      <c r="I140" t="str">
        <f t="shared" si="18"/>
        <v/>
      </c>
      <c r="J140" s="114" t="str">
        <f t="shared" si="21"/>
        <v/>
      </c>
    </row>
    <row r="141" spans="1:10">
      <c r="A141" t="str">
        <f t="shared" si="19"/>
        <v/>
      </c>
      <c r="B141">
        <f>'Option 1'!D149</f>
        <v>137</v>
      </c>
      <c r="C141" s="37" t="str">
        <f>IF('Option 1'!AD149="","",'Option 1'!AD149)</f>
        <v/>
      </c>
      <c r="D141" t="str">
        <f t="shared" si="20"/>
        <v/>
      </c>
      <c r="E141" s="105" t="str">
        <f t="shared" si="15"/>
        <v/>
      </c>
      <c r="F141" s="105">
        <v>137</v>
      </c>
      <c r="G141" t="str">
        <f t="shared" si="16"/>
        <v/>
      </c>
      <c r="H141" t="str">
        <f t="shared" si="17"/>
        <v/>
      </c>
      <c r="I141" t="str">
        <f t="shared" si="18"/>
        <v/>
      </c>
      <c r="J141" s="114" t="str">
        <f t="shared" si="21"/>
        <v/>
      </c>
    </row>
    <row r="142" spans="1:10">
      <c r="A142" t="str">
        <f t="shared" si="19"/>
        <v/>
      </c>
      <c r="B142">
        <f>'Option 1'!D150</f>
        <v>138</v>
      </c>
      <c r="C142" s="37" t="str">
        <f>IF('Option 1'!AD150="","",'Option 1'!AD150)</f>
        <v/>
      </c>
      <c r="D142" t="str">
        <f t="shared" si="20"/>
        <v/>
      </c>
      <c r="E142" s="105" t="str">
        <f t="shared" si="15"/>
        <v/>
      </c>
      <c r="F142" s="105">
        <v>138</v>
      </c>
      <c r="G142" t="str">
        <f t="shared" si="16"/>
        <v/>
      </c>
      <c r="H142" t="str">
        <f t="shared" si="17"/>
        <v/>
      </c>
      <c r="I142" t="str">
        <f t="shared" si="18"/>
        <v/>
      </c>
      <c r="J142" s="114" t="str">
        <f t="shared" si="21"/>
        <v/>
      </c>
    </row>
    <row r="143" spans="1:10">
      <c r="A143" t="str">
        <f t="shared" si="19"/>
        <v/>
      </c>
      <c r="B143">
        <f>'Option 1'!D151</f>
        <v>139</v>
      </c>
      <c r="C143" s="37" t="str">
        <f>IF('Option 1'!AD151="","",'Option 1'!AD151)</f>
        <v/>
      </c>
      <c r="D143" t="str">
        <f t="shared" si="20"/>
        <v/>
      </c>
      <c r="E143" s="105" t="str">
        <f t="shared" si="15"/>
        <v/>
      </c>
      <c r="F143" s="105">
        <v>139</v>
      </c>
      <c r="G143" t="str">
        <f t="shared" si="16"/>
        <v/>
      </c>
      <c r="H143" t="str">
        <f t="shared" si="17"/>
        <v/>
      </c>
      <c r="I143" t="str">
        <f t="shared" si="18"/>
        <v/>
      </c>
      <c r="J143" s="114" t="str">
        <f t="shared" si="21"/>
        <v/>
      </c>
    </row>
    <row r="144" spans="1:10">
      <c r="A144" t="str">
        <f t="shared" si="19"/>
        <v/>
      </c>
      <c r="B144">
        <f>'Option 1'!D152</f>
        <v>140</v>
      </c>
      <c r="C144" s="37" t="str">
        <f>IF('Option 1'!AD152="","",'Option 1'!AD152)</f>
        <v/>
      </c>
      <c r="D144" t="str">
        <f t="shared" si="20"/>
        <v/>
      </c>
      <c r="E144" s="105" t="str">
        <f t="shared" si="15"/>
        <v/>
      </c>
      <c r="F144" s="105">
        <v>140</v>
      </c>
      <c r="G144" t="str">
        <f t="shared" si="16"/>
        <v/>
      </c>
      <c r="H144" t="str">
        <f t="shared" si="17"/>
        <v/>
      </c>
      <c r="I144" t="str">
        <f t="shared" si="18"/>
        <v/>
      </c>
      <c r="J144" s="114" t="str">
        <f t="shared" si="21"/>
        <v/>
      </c>
    </row>
    <row r="145" spans="1:10">
      <c r="A145" t="str">
        <f t="shared" si="19"/>
        <v/>
      </c>
      <c r="B145">
        <f>'Option 1'!D153</f>
        <v>141</v>
      </c>
      <c r="C145" s="37" t="str">
        <f>IF('Option 1'!AD153="","",'Option 1'!AD153)</f>
        <v/>
      </c>
      <c r="D145" t="str">
        <f t="shared" si="20"/>
        <v/>
      </c>
      <c r="E145" s="105" t="str">
        <f t="shared" si="15"/>
        <v/>
      </c>
      <c r="F145" s="105">
        <v>141</v>
      </c>
      <c r="G145" t="str">
        <f t="shared" si="16"/>
        <v/>
      </c>
      <c r="H145" t="str">
        <f t="shared" si="17"/>
        <v/>
      </c>
      <c r="I145" t="str">
        <f t="shared" si="18"/>
        <v/>
      </c>
      <c r="J145" s="114" t="str">
        <f t="shared" si="21"/>
        <v/>
      </c>
    </row>
    <row r="146" spans="1:10">
      <c r="A146" t="str">
        <f t="shared" si="19"/>
        <v/>
      </c>
      <c r="B146">
        <f>'Option 1'!D154</f>
        <v>142</v>
      </c>
      <c r="C146" s="37" t="str">
        <f>IF('Option 1'!AD154="","",'Option 1'!AD154)</f>
        <v/>
      </c>
      <c r="D146" t="str">
        <f t="shared" si="20"/>
        <v/>
      </c>
      <c r="E146" s="105" t="str">
        <f t="shared" si="15"/>
        <v/>
      </c>
      <c r="F146" s="105">
        <v>142</v>
      </c>
      <c r="G146" t="str">
        <f t="shared" si="16"/>
        <v/>
      </c>
      <c r="H146" t="str">
        <f t="shared" si="17"/>
        <v/>
      </c>
      <c r="I146" t="str">
        <f t="shared" si="18"/>
        <v/>
      </c>
      <c r="J146" s="114" t="str">
        <f t="shared" si="21"/>
        <v/>
      </c>
    </row>
    <row r="147" spans="1:10">
      <c r="A147" t="str">
        <f t="shared" si="19"/>
        <v/>
      </c>
      <c r="B147">
        <f>'Option 1'!D155</f>
        <v>143</v>
      </c>
      <c r="C147" s="37" t="str">
        <f>IF('Option 1'!AD155="","",'Option 1'!AD155)</f>
        <v/>
      </c>
      <c r="D147" t="str">
        <f t="shared" si="20"/>
        <v/>
      </c>
      <c r="E147" s="105" t="str">
        <f t="shared" si="15"/>
        <v/>
      </c>
      <c r="F147" s="105">
        <v>143</v>
      </c>
      <c r="G147" t="str">
        <f t="shared" si="16"/>
        <v/>
      </c>
      <c r="H147" t="str">
        <f t="shared" si="17"/>
        <v/>
      </c>
      <c r="I147" t="str">
        <f t="shared" si="18"/>
        <v/>
      </c>
      <c r="J147" s="114" t="str">
        <f t="shared" si="21"/>
        <v/>
      </c>
    </row>
    <row r="148" spans="1:10">
      <c r="A148" t="str">
        <f t="shared" si="19"/>
        <v/>
      </c>
      <c r="B148">
        <f>'Option 1'!D156</f>
        <v>144</v>
      </c>
      <c r="C148" s="37" t="str">
        <f>IF('Option 1'!AD156="","",'Option 1'!AD156)</f>
        <v/>
      </c>
      <c r="D148" t="str">
        <f t="shared" si="20"/>
        <v/>
      </c>
      <c r="E148" s="105" t="str">
        <f t="shared" si="15"/>
        <v/>
      </c>
      <c r="F148" s="105">
        <v>144</v>
      </c>
      <c r="G148" t="str">
        <f t="shared" si="16"/>
        <v/>
      </c>
      <c r="H148" t="str">
        <f t="shared" si="17"/>
        <v/>
      </c>
      <c r="I148" t="str">
        <f t="shared" si="18"/>
        <v/>
      </c>
      <c r="J148" s="114" t="str">
        <f t="shared" si="21"/>
        <v/>
      </c>
    </row>
    <row r="149" spans="1:10">
      <c r="A149" t="str">
        <f t="shared" si="19"/>
        <v/>
      </c>
      <c r="B149">
        <f>'Option 1'!D157</f>
        <v>145</v>
      </c>
      <c r="C149" s="37" t="str">
        <f>IF('Option 1'!AD157="","",'Option 1'!AD157)</f>
        <v/>
      </c>
      <c r="D149" t="str">
        <f t="shared" si="20"/>
        <v/>
      </c>
      <c r="E149" s="105" t="str">
        <f t="shared" si="15"/>
        <v/>
      </c>
      <c r="F149" s="105">
        <v>145</v>
      </c>
      <c r="G149" t="str">
        <f t="shared" si="16"/>
        <v/>
      </c>
      <c r="H149" t="str">
        <f t="shared" si="17"/>
        <v/>
      </c>
      <c r="I149" t="str">
        <f t="shared" si="18"/>
        <v/>
      </c>
      <c r="J149" s="114" t="str">
        <f t="shared" si="21"/>
        <v/>
      </c>
    </row>
    <row r="150" spans="1:10">
      <c r="A150" t="str">
        <f t="shared" si="19"/>
        <v/>
      </c>
      <c r="B150">
        <f>'Option 1'!D158</f>
        <v>146</v>
      </c>
      <c r="C150" s="37" t="str">
        <f>IF('Option 1'!AD158="","",'Option 1'!AD158)</f>
        <v/>
      </c>
      <c r="D150" t="str">
        <f t="shared" si="20"/>
        <v/>
      </c>
      <c r="E150" s="105" t="str">
        <f t="shared" si="15"/>
        <v/>
      </c>
      <c r="F150" s="105">
        <v>146</v>
      </c>
      <c r="G150" t="str">
        <f t="shared" si="16"/>
        <v/>
      </c>
      <c r="H150" t="str">
        <f t="shared" si="17"/>
        <v/>
      </c>
      <c r="I150" t="str">
        <f t="shared" si="18"/>
        <v/>
      </c>
      <c r="J150" s="114" t="str">
        <f t="shared" si="21"/>
        <v/>
      </c>
    </row>
    <row r="151" spans="1:10">
      <c r="A151" t="str">
        <f t="shared" si="19"/>
        <v/>
      </c>
      <c r="B151">
        <f>'Option 1'!D159</f>
        <v>147</v>
      </c>
      <c r="C151" s="37" t="str">
        <f>IF('Option 1'!AD159="","",'Option 1'!AD159)</f>
        <v/>
      </c>
      <c r="D151" t="str">
        <f t="shared" si="20"/>
        <v/>
      </c>
      <c r="E151" s="105" t="str">
        <f t="shared" si="15"/>
        <v/>
      </c>
      <c r="F151" s="105">
        <v>147</v>
      </c>
      <c r="G151" t="str">
        <f t="shared" si="16"/>
        <v/>
      </c>
      <c r="H151" t="str">
        <f t="shared" si="17"/>
        <v/>
      </c>
      <c r="I151" t="str">
        <f t="shared" si="18"/>
        <v/>
      </c>
      <c r="J151" s="114" t="str">
        <f t="shared" si="21"/>
        <v/>
      </c>
    </row>
    <row r="152" spans="1:10">
      <c r="A152" t="str">
        <f t="shared" si="19"/>
        <v/>
      </c>
      <c r="B152">
        <f>'Option 1'!D160</f>
        <v>148</v>
      </c>
      <c r="C152" s="37" t="str">
        <f>IF('Option 1'!AD160="","",'Option 1'!AD160)</f>
        <v/>
      </c>
      <c r="D152" t="str">
        <f t="shared" si="20"/>
        <v/>
      </c>
      <c r="E152" s="105" t="str">
        <f t="shared" si="15"/>
        <v/>
      </c>
      <c r="F152" s="105">
        <v>148</v>
      </c>
      <c r="G152" t="str">
        <f t="shared" si="16"/>
        <v/>
      </c>
      <c r="H152" t="str">
        <f t="shared" si="17"/>
        <v/>
      </c>
      <c r="I152" t="str">
        <f t="shared" si="18"/>
        <v/>
      </c>
      <c r="J152" s="114" t="str">
        <f t="shared" si="21"/>
        <v/>
      </c>
    </row>
    <row r="153" spans="1:10">
      <c r="A153" t="str">
        <f t="shared" si="19"/>
        <v/>
      </c>
      <c r="B153">
        <f>'Option 1'!D161</f>
        <v>149</v>
      </c>
      <c r="C153" s="37" t="str">
        <f>IF('Option 1'!AD161="","",'Option 1'!AD161)</f>
        <v/>
      </c>
      <c r="D153" t="str">
        <f t="shared" si="20"/>
        <v/>
      </c>
      <c r="E153" s="105" t="str">
        <f t="shared" si="15"/>
        <v/>
      </c>
      <c r="F153" s="105">
        <v>149</v>
      </c>
      <c r="G153" t="str">
        <f t="shared" si="16"/>
        <v/>
      </c>
      <c r="H153" t="str">
        <f t="shared" si="17"/>
        <v/>
      </c>
      <c r="I153" t="str">
        <f t="shared" si="18"/>
        <v/>
      </c>
      <c r="J153" s="114" t="str">
        <f t="shared" si="21"/>
        <v/>
      </c>
    </row>
    <row r="154" spans="1:10">
      <c r="A154" t="str">
        <f t="shared" si="19"/>
        <v/>
      </c>
      <c r="B154">
        <f>'Option 1'!D162</f>
        <v>150</v>
      </c>
      <c r="C154" s="37" t="str">
        <f>IF('Option 1'!AD162="","",'Option 1'!AD162)</f>
        <v/>
      </c>
      <c r="D154" t="str">
        <f t="shared" si="20"/>
        <v/>
      </c>
      <c r="E154" s="105" t="str">
        <f t="shared" si="15"/>
        <v/>
      </c>
      <c r="F154" s="105">
        <v>150</v>
      </c>
      <c r="G154" t="str">
        <f t="shared" si="16"/>
        <v/>
      </c>
      <c r="H154" t="str">
        <f t="shared" si="17"/>
        <v/>
      </c>
      <c r="I154" t="str">
        <f t="shared" si="18"/>
        <v/>
      </c>
      <c r="J154" s="114" t="str">
        <f t="shared" si="21"/>
        <v/>
      </c>
    </row>
    <row r="155" spans="1:10">
      <c r="A155" t="str">
        <f t="shared" si="19"/>
        <v/>
      </c>
      <c r="B155">
        <f>'Option 1'!D163</f>
        <v>151</v>
      </c>
      <c r="C155" s="37" t="str">
        <f>IF('Option 1'!AD163="","",'Option 1'!AD163)</f>
        <v/>
      </c>
      <c r="D155" t="str">
        <f>IF(C155="","",C155+(0.000000001*ROW()))</f>
        <v/>
      </c>
      <c r="E155" s="105" t="str">
        <f t="shared" si="15"/>
        <v/>
      </c>
      <c r="F155" s="105">
        <v>151</v>
      </c>
      <c r="G155" t="str">
        <f t="shared" si="16"/>
        <v/>
      </c>
      <c r="H155" t="str">
        <f t="shared" si="17"/>
        <v/>
      </c>
      <c r="I155" t="str">
        <f t="shared" si="18"/>
        <v/>
      </c>
      <c r="J155" s="114" t="str">
        <f t="shared" si="21"/>
        <v/>
      </c>
    </row>
    <row r="156" spans="1:10">
      <c r="A156" t="str">
        <f t="shared" si="19"/>
        <v/>
      </c>
      <c r="B156">
        <f>'Option 1'!D164</f>
        <v>152</v>
      </c>
      <c r="C156" s="37" t="str">
        <f>IF('Option 1'!AD164="","",'Option 1'!AD164)</f>
        <v/>
      </c>
      <c r="D156" t="str">
        <f t="shared" ref="D156:D173" si="22">IF(C156="","",C156+(0.000000001*ROW()))</f>
        <v/>
      </c>
      <c r="E156" s="105" t="str">
        <f t="shared" si="15"/>
        <v/>
      </c>
      <c r="F156" s="105">
        <v>152</v>
      </c>
      <c r="G156" t="str">
        <f t="shared" si="16"/>
        <v/>
      </c>
      <c r="H156" t="str">
        <f t="shared" si="17"/>
        <v/>
      </c>
      <c r="I156" t="str">
        <f t="shared" si="18"/>
        <v/>
      </c>
      <c r="J156" s="114" t="str">
        <f t="shared" si="21"/>
        <v/>
      </c>
    </row>
    <row r="157" spans="1:10">
      <c r="A157" t="str">
        <f t="shared" si="19"/>
        <v/>
      </c>
      <c r="B157">
        <f>'Option 1'!D165</f>
        <v>153</v>
      </c>
      <c r="C157" s="37" t="str">
        <f>IF('Option 1'!AD165="","",'Option 1'!AD165)</f>
        <v/>
      </c>
      <c r="D157" t="str">
        <f t="shared" si="22"/>
        <v/>
      </c>
      <c r="E157" s="105" t="str">
        <f t="shared" si="15"/>
        <v/>
      </c>
      <c r="F157" s="105">
        <v>153</v>
      </c>
      <c r="G157" t="str">
        <f t="shared" si="16"/>
        <v/>
      </c>
      <c r="H157" t="str">
        <f t="shared" si="17"/>
        <v/>
      </c>
      <c r="I157" t="str">
        <f t="shared" si="18"/>
        <v/>
      </c>
      <c r="J157" s="114" t="str">
        <f t="shared" si="21"/>
        <v/>
      </c>
    </row>
    <row r="158" spans="1:10">
      <c r="A158" t="str">
        <f t="shared" si="19"/>
        <v/>
      </c>
      <c r="B158">
        <f>'Option 1'!D166</f>
        <v>154</v>
      </c>
      <c r="C158" s="37" t="str">
        <f>IF('Option 1'!AD166="","",'Option 1'!AD166)</f>
        <v/>
      </c>
      <c r="D158" t="str">
        <f t="shared" si="22"/>
        <v/>
      </c>
      <c r="E158" s="105" t="str">
        <f t="shared" si="15"/>
        <v/>
      </c>
      <c r="F158" s="105">
        <v>154</v>
      </c>
      <c r="G158" t="str">
        <f t="shared" si="16"/>
        <v/>
      </c>
      <c r="H158" t="str">
        <f t="shared" si="17"/>
        <v/>
      </c>
      <c r="I158" t="str">
        <f t="shared" si="18"/>
        <v/>
      </c>
      <c r="J158" s="114" t="str">
        <f t="shared" si="21"/>
        <v/>
      </c>
    </row>
    <row r="159" spans="1:10">
      <c r="A159" t="str">
        <f t="shared" si="19"/>
        <v/>
      </c>
      <c r="B159">
        <f>'Option 1'!D167</f>
        <v>155</v>
      </c>
      <c r="C159" s="37" t="str">
        <f>IF('Option 1'!AD167="","",'Option 1'!AD167)</f>
        <v/>
      </c>
      <c r="D159" t="str">
        <f t="shared" si="22"/>
        <v/>
      </c>
      <c r="E159" s="105" t="str">
        <f t="shared" si="15"/>
        <v/>
      </c>
      <c r="F159" s="105">
        <v>155</v>
      </c>
      <c r="G159" t="str">
        <f t="shared" si="16"/>
        <v/>
      </c>
      <c r="H159" t="str">
        <f t="shared" si="17"/>
        <v/>
      </c>
      <c r="I159" t="str">
        <f t="shared" si="18"/>
        <v/>
      </c>
      <c r="J159" s="114" t="str">
        <f t="shared" si="21"/>
        <v/>
      </c>
    </row>
    <row r="160" spans="1:10">
      <c r="A160" t="str">
        <f t="shared" si="19"/>
        <v/>
      </c>
      <c r="B160">
        <f>'Option 1'!D168</f>
        <v>156</v>
      </c>
      <c r="C160" s="37" t="str">
        <f>IF('Option 1'!AD168="","",'Option 1'!AD168)</f>
        <v/>
      </c>
      <c r="D160" t="str">
        <f t="shared" si="22"/>
        <v/>
      </c>
      <c r="E160" s="105" t="str">
        <f t="shared" si="15"/>
        <v/>
      </c>
      <c r="F160" s="105">
        <v>156</v>
      </c>
      <c r="G160" t="str">
        <f t="shared" si="16"/>
        <v/>
      </c>
      <c r="H160" t="str">
        <f t="shared" si="17"/>
        <v/>
      </c>
      <c r="I160" t="str">
        <f t="shared" si="18"/>
        <v/>
      </c>
      <c r="J160" s="114" t="str">
        <f t="shared" si="21"/>
        <v/>
      </c>
    </row>
    <row r="161" spans="1:10">
      <c r="A161" t="str">
        <f t="shared" si="19"/>
        <v/>
      </c>
      <c r="B161">
        <f>'Option 1'!D169</f>
        <v>157</v>
      </c>
      <c r="C161" s="37" t="str">
        <f>IF('Option 1'!AD169="","",'Option 1'!AD169)</f>
        <v/>
      </c>
      <c r="D161" t="str">
        <f t="shared" si="22"/>
        <v/>
      </c>
      <c r="E161" s="105" t="str">
        <f t="shared" si="15"/>
        <v/>
      </c>
      <c r="F161" s="105">
        <v>157</v>
      </c>
      <c r="G161" t="str">
        <f t="shared" si="16"/>
        <v/>
      </c>
      <c r="H161" t="str">
        <f t="shared" si="17"/>
        <v/>
      </c>
      <c r="I161" t="str">
        <f t="shared" si="18"/>
        <v/>
      </c>
      <c r="J161" s="114" t="str">
        <f t="shared" si="21"/>
        <v/>
      </c>
    </row>
    <row r="162" spans="1:10">
      <c r="A162" t="str">
        <f t="shared" si="19"/>
        <v/>
      </c>
      <c r="B162">
        <f>'Option 1'!D170</f>
        <v>158</v>
      </c>
      <c r="C162" s="37" t="str">
        <f>IF('Option 1'!AD170="","",'Option 1'!AD170)</f>
        <v/>
      </c>
      <c r="D162" t="str">
        <f t="shared" si="22"/>
        <v/>
      </c>
      <c r="E162" s="105" t="str">
        <f t="shared" si="15"/>
        <v/>
      </c>
      <c r="F162" s="105">
        <v>158</v>
      </c>
      <c r="G162" t="str">
        <f t="shared" si="16"/>
        <v/>
      </c>
      <c r="H162" t="str">
        <f t="shared" si="17"/>
        <v/>
      </c>
      <c r="I162" t="str">
        <f t="shared" si="18"/>
        <v/>
      </c>
      <c r="J162" s="114" t="str">
        <f t="shared" si="21"/>
        <v/>
      </c>
    </row>
    <row r="163" spans="1:10">
      <c r="A163" t="str">
        <f t="shared" si="19"/>
        <v/>
      </c>
      <c r="B163">
        <f>'Option 1'!D171</f>
        <v>159</v>
      </c>
      <c r="C163" s="37" t="str">
        <f>IF('Option 1'!AD171="","",'Option 1'!AD171)</f>
        <v/>
      </c>
      <c r="D163" t="str">
        <f t="shared" si="22"/>
        <v/>
      </c>
      <c r="E163" s="105" t="str">
        <f t="shared" si="15"/>
        <v/>
      </c>
      <c r="F163" s="105">
        <v>159</v>
      </c>
      <c r="G163" t="str">
        <f t="shared" si="16"/>
        <v/>
      </c>
      <c r="H163" t="str">
        <f t="shared" si="17"/>
        <v/>
      </c>
      <c r="I163" t="str">
        <f t="shared" si="18"/>
        <v/>
      </c>
      <c r="J163" s="114" t="str">
        <f t="shared" si="21"/>
        <v/>
      </c>
    </row>
    <row r="164" spans="1:10">
      <c r="A164" t="str">
        <f t="shared" si="19"/>
        <v/>
      </c>
      <c r="B164">
        <f>'Option 1'!D172</f>
        <v>160</v>
      </c>
      <c r="C164" s="37" t="str">
        <f>IF('Option 1'!AD172="","",'Option 1'!AD172)</f>
        <v/>
      </c>
      <c r="D164" t="str">
        <f t="shared" si="22"/>
        <v/>
      </c>
      <c r="E164" s="105" t="str">
        <f t="shared" si="15"/>
        <v/>
      </c>
      <c r="F164" s="105">
        <v>160</v>
      </c>
      <c r="G164" t="str">
        <f t="shared" si="16"/>
        <v/>
      </c>
      <c r="H164" t="str">
        <f t="shared" si="17"/>
        <v/>
      </c>
      <c r="I164" t="str">
        <f t="shared" si="18"/>
        <v/>
      </c>
      <c r="J164" s="114" t="str">
        <f t="shared" si="21"/>
        <v/>
      </c>
    </row>
    <row r="165" spans="1:10">
      <c r="A165" t="str">
        <f t="shared" si="19"/>
        <v/>
      </c>
      <c r="B165">
        <f>'Option 1'!D173</f>
        <v>161</v>
      </c>
      <c r="C165" s="37" t="str">
        <f>IF('Option 1'!AD173="","",'Option 1'!AD173)</f>
        <v/>
      </c>
      <c r="D165" t="str">
        <f t="shared" si="22"/>
        <v/>
      </c>
      <c r="E165" s="105" t="str">
        <f t="shared" si="15"/>
        <v/>
      </c>
      <c r="F165" s="105">
        <v>161</v>
      </c>
      <c r="G165" t="str">
        <f t="shared" si="16"/>
        <v/>
      </c>
      <c r="H165" t="str">
        <f t="shared" si="17"/>
        <v/>
      </c>
      <c r="I165" t="str">
        <f t="shared" si="18"/>
        <v/>
      </c>
      <c r="J165" s="114" t="str">
        <f t="shared" si="21"/>
        <v/>
      </c>
    </row>
    <row r="166" spans="1:10">
      <c r="A166" t="str">
        <f t="shared" si="19"/>
        <v/>
      </c>
      <c r="B166">
        <f>'Option 1'!D174</f>
        <v>162</v>
      </c>
      <c r="C166" s="37" t="str">
        <f>IF('Option 1'!AD174="","",'Option 1'!AD174)</f>
        <v/>
      </c>
      <c r="D166" t="str">
        <f t="shared" si="22"/>
        <v/>
      </c>
      <c r="E166" s="105" t="str">
        <f t="shared" si="15"/>
        <v/>
      </c>
      <c r="F166" s="105">
        <v>162</v>
      </c>
      <c r="G166" t="str">
        <f t="shared" si="16"/>
        <v/>
      </c>
      <c r="H166" t="str">
        <f t="shared" si="17"/>
        <v/>
      </c>
      <c r="I166" t="str">
        <f t="shared" si="18"/>
        <v/>
      </c>
      <c r="J166" s="114" t="str">
        <f t="shared" si="21"/>
        <v/>
      </c>
    </row>
    <row r="167" spans="1:10">
      <c r="A167" t="str">
        <f t="shared" si="19"/>
        <v/>
      </c>
      <c r="B167">
        <f>'Option 1'!D175</f>
        <v>163</v>
      </c>
      <c r="C167" s="37" t="str">
        <f>IF('Option 1'!AD175="","",'Option 1'!AD175)</f>
        <v/>
      </c>
      <c r="D167" t="str">
        <f t="shared" si="22"/>
        <v/>
      </c>
      <c r="E167" s="105" t="str">
        <f t="shared" si="15"/>
        <v/>
      </c>
      <c r="F167" s="105">
        <v>163</v>
      </c>
      <c r="G167" t="str">
        <f t="shared" si="16"/>
        <v/>
      </c>
      <c r="H167" t="str">
        <f t="shared" si="17"/>
        <v/>
      </c>
      <c r="I167" t="str">
        <f t="shared" si="18"/>
        <v/>
      </c>
      <c r="J167" s="114" t="str">
        <f t="shared" si="21"/>
        <v/>
      </c>
    </row>
    <row r="168" spans="1:10">
      <c r="A168" t="str">
        <f t="shared" si="19"/>
        <v/>
      </c>
      <c r="B168">
        <f>'Option 1'!D176</f>
        <v>164</v>
      </c>
      <c r="C168" s="37" t="str">
        <f>IF('Option 1'!AD176="","",'Option 1'!AD176)</f>
        <v/>
      </c>
      <c r="D168" t="str">
        <f t="shared" si="22"/>
        <v/>
      </c>
      <c r="E168" s="105" t="str">
        <f t="shared" si="15"/>
        <v/>
      </c>
      <c r="F168" s="105">
        <v>164</v>
      </c>
      <c r="G168" t="str">
        <f t="shared" si="16"/>
        <v/>
      </c>
      <c r="H168" t="str">
        <f t="shared" si="17"/>
        <v/>
      </c>
      <c r="I168" t="str">
        <f t="shared" si="18"/>
        <v/>
      </c>
      <c r="J168" s="114" t="str">
        <f t="shared" si="21"/>
        <v/>
      </c>
    </row>
    <row r="169" spans="1:10">
      <c r="A169" t="str">
        <f t="shared" si="19"/>
        <v/>
      </c>
      <c r="B169">
        <f>'Option 1'!D177</f>
        <v>165</v>
      </c>
      <c r="C169" s="37" t="str">
        <f>IF('Option 1'!AD177="","",'Option 1'!AD177)</f>
        <v/>
      </c>
      <c r="D169" t="str">
        <f t="shared" si="22"/>
        <v/>
      </c>
      <c r="E169" s="105" t="str">
        <f t="shared" si="15"/>
        <v/>
      </c>
      <c r="F169" s="105">
        <v>165</v>
      </c>
      <c r="G169" t="str">
        <f t="shared" si="16"/>
        <v/>
      </c>
      <c r="H169" t="str">
        <f t="shared" si="17"/>
        <v/>
      </c>
      <c r="I169" t="str">
        <f t="shared" si="18"/>
        <v/>
      </c>
      <c r="J169" s="114" t="str">
        <f t="shared" si="21"/>
        <v/>
      </c>
    </row>
    <row r="170" spans="1:10">
      <c r="A170" t="str">
        <f t="shared" si="19"/>
        <v/>
      </c>
      <c r="B170">
        <f>'Option 1'!D178</f>
        <v>166</v>
      </c>
      <c r="C170" s="37" t="str">
        <f>IF('Option 1'!AD178="","",'Option 1'!AD178)</f>
        <v/>
      </c>
      <c r="D170" t="str">
        <f t="shared" si="22"/>
        <v/>
      </c>
      <c r="E170" s="105" t="str">
        <f t="shared" si="15"/>
        <v/>
      </c>
      <c r="F170" s="105">
        <v>166</v>
      </c>
      <c r="G170" t="str">
        <f t="shared" si="16"/>
        <v/>
      </c>
      <c r="H170" t="str">
        <f t="shared" si="17"/>
        <v/>
      </c>
      <c r="I170" t="str">
        <f t="shared" si="18"/>
        <v/>
      </c>
      <c r="J170" s="114" t="str">
        <f t="shared" si="21"/>
        <v/>
      </c>
    </row>
    <row r="171" spans="1:10">
      <c r="A171" t="str">
        <f t="shared" si="19"/>
        <v/>
      </c>
      <c r="B171">
        <f>'Option 1'!D179</f>
        <v>167</v>
      </c>
      <c r="C171" s="37" t="str">
        <f>IF('Option 1'!AD179="","",'Option 1'!AD179)</f>
        <v/>
      </c>
      <c r="D171" t="str">
        <f t="shared" si="22"/>
        <v/>
      </c>
      <c r="E171" s="105" t="str">
        <f t="shared" si="15"/>
        <v/>
      </c>
      <c r="F171" s="105">
        <v>167</v>
      </c>
      <c r="G171" t="str">
        <f t="shared" si="16"/>
        <v/>
      </c>
      <c r="H171" t="str">
        <f t="shared" si="17"/>
        <v/>
      </c>
      <c r="I171" t="str">
        <f t="shared" si="18"/>
        <v/>
      </c>
      <c r="J171" s="114" t="str">
        <f t="shared" si="21"/>
        <v/>
      </c>
    </row>
    <row r="172" spans="1:10">
      <c r="A172" t="str">
        <f t="shared" si="19"/>
        <v/>
      </c>
      <c r="B172">
        <f>'Option 1'!D180</f>
        <v>168</v>
      </c>
      <c r="C172" s="37" t="str">
        <f>IF('Option 1'!AD180="","",'Option 1'!AD180)</f>
        <v/>
      </c>
      <c r="D172" t="str">
        <f t="shared" si="22"/>
        <v/>
      </c>
      <c r="E172" s="105" t="str">
        <f t="shared" si="15"/>
        <v/>
      </c>
      <c r="F172" s="105">
        <v>168</v>
      </c>
      <c r="G172" t="str">
        <f t="shared" si="16"/>
        <v/>
      </c>
      <c r="H172" t="str">
        <f t="shared" si="17"/>
        <v/>
      </c>
      <c r="I172" t="str">
        <f t="shared" si="18"/>
        <v/>
      </c>
      <c r="J172" s="114" t="str">
        <f t="shared" si="21"/>
        <v/>
      </c>
    </row>
    <row r="173" spans="1:10">
      <c r="A173" t="str">
        <f t="shared" si="19"/>
        <v/>
      </c>
      <c r="B173">
        <f>'Option 1'!D181</f>
        <v>169</v>
      </c>
      <c r="C173" s="115" t="str">
        <f>IF('Option 1'!AD181="","",'Option 1'!AD181)</f>
        <v/>
      </c>
      <c r="D173" t="str">
        <f t="shared" si="22"/>
        <v/>
      </c>
      <c r="E173" s="105" t="str">
        <f t="shared" si="15"/>
        <v/>
      </c>
      <c r="F173" s="105">
        <v>169</v>
      </c>
      <c r="G173" t="str">
        <f t="shared" si="16"/>
        <v/>
      </c>
      <c r="H173" t="str">
        <f t="shared" si="17"/>
        <v/>
      </c>
      <c r="I173" t="str">
        <f t="shared" si="18"/>
        <v/>
      </c>
      <c r="J173" s="114" t="str">
        <f t="shared" si="21"/>
        <v/>
      </c>
    </row>
    <row r="174" spans="1:10">
      <c r="A174" t="str">
        <f t="shared" si="19"/>
        <v/>
      </c>
      <c r="B174">
        <f>'Option 1'!D182</f>
        <v>170</v>
      </c>
      <c r="C174" s="37" t="str">
        <f>IF('Option 1'!AD182="","",'Option 1'!AD182)</f>
        <v/>
      </c>
      <c r="D174" t="str">
        <f>IF(C174="","",C174+(0.000000001*ROW()))</f>
        <v/>
      </c>
      <c r="E174" s="105" t="str">
        <f t="shared" si="15"/>
        <v/>
      </c>
      <c r="F174" s="105">
        <v>170</v>
      </c>
      <c r="G174" t="str">
        <f t="shared" si="16"/>
        <v/>
      </c>
      <c r="H174" t="str">
        <f t="shared" si="17"/>
        <v/>
      </c>
      <c r="I174" t="str">
        <f t="shared" si="18"/>
        <v/>
      </c>
      <c r="J174" s="114" t="str">
        <f t="shared" si="21"/>
        <v/>
      </c>
    </row>
    <row r="175" spans="1:10">
      <c r="A175" t="str">
        <f t="shared" si="19"/>
        <v/>
      </c>
      <c r="B175">
        <f>'Option 1'!D183</f>
        <v>171</v>
      </c>
      <c r="C175" s="37" t="str">
        <f>IF('Option 1'!AD183="","",'Option 1'!AD183)</f>
        <v/>
      </c>
      <c r="D175" t="str">
        <f t="shared" ref="D175:D204" si="23">IF(C175="","",C175+(0.000000001*ROW()))</f>
        <v/>
      </c>
      <c r="E175" s="105" t="str">
        <f t="shared" si="15"/>
        <v/>
      </c>
      <c r="F175" s="105">
        <v>171</v>
      </c>
      <c r="G175" t="str">
        <f t="shared" si="16"/>
        <v/>
      </c>
      <c r="H175" t="str">
        <f t="shared" si="17"/>
        <v/>
      </c>
      <c r="I175" t="str">
        <f t="shared" si="18"/>
        <v/>
      </c>
      <c r="J175" s="114" t="str">
        <f t="shared" si="21"/>
        <v/>
      </c>
    </row>
    <row r="176" spans="1:10">
      <c r="A176" t="str">
        <f t="shared" si="19"/>
        <v/>
      </c>
      <c r="B176">
        <f>'Option 1'!D184</f>
        <v>172</v>
      </c>
      <c r="C176" s="37" t="str">
        <f>IF('Option 1'!AD184="","",'Option 1'!AD184)</f>
        <v/>
      </c>
      <c r="D176" t="str">
        <f t="shared" si="23"/>
        <v/>
      </c>
      <c r="E176" s="105" t="str">
        <f t="shared" si="15"/>
        <v/>
      </c>
      <c r="F176" s="105">
        <v>172</v>
      </c>
      <c r="G176" t="str">
        <f t="shared" si="16"/>
        <v/>
      </c>
      <c r="H176" t="str">
        <f t="shared" si="17"/>
        <v/>
      </c>
      <c r="I176" t="str">
        <f t="shared" si="18"/>
        <v/>
      </c>
      <c r="J176" s="114" t="str">
        <f t="shared" si="21"/>
        <v/>
      </c>
    </row>
    <row r="177" spans="1:10">
      <c r="A177" t="str">
        <f t="shared" si="19"/>
        <v/>
      </c>
      <c r="B177">
        <f>'Option 1'!D185</f>
        <v>173</v>
      </c>
      <c r="C177" s="37" t="str">
        <f>IF('Option 1'!AD185="","",'Option 1'!AD185)</f>
        <v/>
      </c>
      <c r="D177" t="str">
        <f t="shared" si="23"/>
        <v/>
      </c>
      <c r="E177" s="105" t="str">
        <f t="shared" si="15"/>
        <v/>
      </c>
      <c r="F177" s="105">
        <v>173</v>
      </c>
      <c r="G177" t="str">
        <f t="shared" si="16"/>
        <v/>
      </c>
      <c r="H177" t="str">
        <f t="shared" si="17"/>
        <v/>
      </c>
      <c r="I177" t="str">
        <f t="shared" si="18"/>
        <v/>
      </c>
      <c r="J177" s="114" t="str">
        <f t="shared" si="21"/>
        <v/>
      </c>
    </row>
    <row r="178" spans="1:10">
      <c r="A178" t="str">
        <f t="shared" si="19"/>
        <v/>
      </c>
      <c r="B178">
        <f>'Option 1'!D186</f>
        <v>174</v>
      </c>
      <c r="C178" s="37" t="str">
        <f>IF('Option 1'!AD186="","",'Option 1'!AD186)</f>
        <v/>
      </c>
      <c r="D178" t="str">
        <f t="shared" si="23"/>
        <v/>
      </c>
      <c r="E178" s="105" t="str">
        <f t="shared" si="15"/>
        <v/>
      </c>
      <c r="F178" s="105">
        <v>174</v>
      </c>
      <c r="G178" t="str">
        <f t="shared" si="16"/>
        <v/>
      </c>
      <c r="H178" t="str">
        <f t="shared" si="17"/>
        <v/>
      </c>
      <c r="I178" t="str">
        <f t="shared" si="18"/>
        <v/>
      </c>
      <c r="J178" s="114" t="str">
        <f t="shared" si="21"/>
        <v/>
      </c>
    </row>
    <row r="179" spans="1:10">
      <c r="A179" t="str">
        <f t="shared" si="19"/>
        <v/>
      </c>
      <c r="B179">
        <f>'Option 1'!D187</f>
        <v>175</v>
      </c>
      <c r="C179" s="37" t="str">
        <f>IF('Option 1'!AD187="","",'Option 1'!AD187)</f>
        <v/>
      </c>
      <c r="D179" t="str">
        <f t="shared" si="23"/>
        <v/>
      </c>
      <c r="E179" s="105" t="str">
        <f t="shared" si="15"/>
        <v/>
      </c>
      <c r="F179" s="105">
        <v>175</v>
      </c>
      <c r="G179" t="str">
        <f t="shared" si="16"/>
        <v/>
      </c>
      <c r="H179" t="str">
        <f t="shared" si="17"/>
        <v/>
      </c>
      <c r="I179" t="str">
        <f t="shared" si="18"/>
        <v/>
      </c>
      <c r="J179" s="114" t="str">
        <f t="shared" si="21"/>
        <v/>
      </c>
    </row>
    <row r="180" spans="1:10">
      <c r="A180" t="str">
        <f t="shared" si="19"/>
        <v/>
      </c>
      <c r="B180">
        <f>'Option 1'!D188</f>
        <v>176</v>
      </c>
      <c r="C180" s="37" t="str">
        <f>IF('Option 1'!AD188="","",'Option 1'!AD188)</f>
        <v/>
      </c>
      <c r="D180" t="str">
        <f t="shared" si="23"/>
        <v/>
      </c>
      <c r="E180" s="105" t="str">
        <f t="shared" si="15"/>
        <v/>
      </c>
      <c r="F180" s="105">
        <v>176</v>
      </c>
      <c r="G180" t="str">
        <f t="shared" si="16"/>
        <v/>
      </c>
      <c r="H180" t="str">
        <f t="shared" si="17"/>
        <v/>
      </c>
      <c r="I180" t="str">
        <f t="shared" si="18"/>
        <v/>
      </c>
      <c r="J180" s="114" t="str">
        <f t="shared" si="21"/>
        <v/>
      </c>
    </row>
    <row r="181" spans="1:10">
      <c r="A181" t="str">
        <f t="shared" si="19"/>
        <v/>
      </c>
      <c r="B181">
        <f>'Option 1'!D189</f>
        <v>177</v>
      </c>
      <c r="C181" s="37" t="str">
        <f>IF('Option 1'!AD189="","",'Option 1'!AD189)</f>
        <v/>
      </c>
      <c r="D181" t="str">
        <f t="shared" si="23"/>
        <v/>
      </c>
      <c r="E181" s="105" t="str">
        <f t="shared" si="15"/>
        <v/>
      </c>
      <c r="F181" s="105">
        <v>177</v>
      </c>
      <c r="G181" t="str">
        <f t="shared" si="16"/>
        <v/>
      </c>
      <c r="H181" t="str">
        <f t="shared" si="17"/>
        <v/>
      </c>
      <c r="I181" t="str">
        <f t="shared" si="18"/>
        <v/>
      </c>
      <c r="J181" s="114" t="str">
        <f t="shared" si="21"/>
        <v/>
      </c>
    </row>
    <row r="182" spans="1:10">
      <c r="A182" t="str">
        <f t="shared" si="19"/>
        <v/>
      </c>
      <c r="B182">
        <f>'Option 1'!D190</f>
        <v>178</v>
      </c>
      <c r="C182" s="37" t="str">
        <f>IF('Option 1'!AD190="","",'Option 1'!AD190)</f>
        <v/>
      </c>
      <c r="D182" t="str">
        <f t="shared" si="23"/>
        <v/>
      </c>
      <c r="E182" s="105" t="str">
        <f t="shared" si="15"/>
        <v/>
      </c>
      <c r="F182" s="105">
        <v>178</v>
      </c>
      <c r="G182" t="str">
        <f t="shared" si="16"/>
        <v/>
      </c>
      <c r="H182" t="str">
        <f t="shared" si="17"/>
        <v/>
      </c>
      <c r="I182" t="str">
        <f t="shared" si="18"/>
        <v/>
      </c>
      <c r="J182" s="114" t="str">
        <f t="shared" si="21"/>
        <v/>
      </c>
    </row>
    <row r="183" spans="1:10">
      <c r="A183" t="str">
        <f t="shared" si="19"/>
        <v/>
      </c>
      <c r="B183">
        <f>'Option 1'!D191</f>
        <v>179</v>
      </c>
      <c r="C183" s="37" t="str">
        <f>IF('Option 1'!AD191="","",'Option 1'!AD191)</f>
        <v/>
      </c>
      <c r="D183" t="str">
        <f t="shared" si="23"/>
        <v/>
      </c>
      <c r="E183" s="105" t="str">
        <f t="shared" si="15"/>
        <v/>
      </c>
      <c r="F183" s="105">
        <v>179</v>
      </c>
      <c r="G183" t="str">
        <f t="shared" si="16"/>
        <v/>
      </c>
      <c r="H183" t="str">
        <f t="shared" si="17"/>
        <v/>
      </c>
      <c r="I183" t="str">
        <f t="shared" si="18"/>
        <v/>
      </c>
      <c r="J183" s="114" t="str">
        <f t="shared" si="21"/>
        <v/>
      </c>
    </row>
    <row r="184" spans="1:10">
      <c r="A184" t="str">
        <f t="shared" si="19"/>
        <v/>
      </c>
      <c r="B184">
        <f>'Option 1'!D192</f>
        <v>180</v>
      </c>
      <c r="C184" s="37" t="str">
        <f>IF('Option 1'!AD192="","",'Option 1'!AD192)</f>
        <v/>
      </c>
      <c r="D184" t="str">
        <f t="shared" si="23"/>
        <v/>
      </c>
      <c r="E184" s="105" t="str">
        <f t="shared" si="15"/>
        <v/>
      </c>
      <c r="F184" s="105">
        <v>180</v>
      </c>
      <c r="G184" t="str">
        <f t="shared" si="16"/>
        <v/>
      </c>
      <c r="H184" t="str">
        <f t="shared" si="17"/>
        <v/>
      </c>
      <c r="I184" t="str">
        <f t="shared" si="18"/>
        <v/>
      </c>
      <c r="J184" s="114" t="str">
        <f t="shared" si="21"/>
        <v/>
      </c>
    </row>
    <row r="185" spans="1:10">
      <c r="A185" t="str">
        <f t="shared" si="19"/>
        <v/>
      </c>
      <c r="B185">
        <f>'Option 1'!D193</f>
        <v>181</v>
      </c>
      <c r="C185" s="37" t="str">
        <f>IF('Option 1'!AD193="","",'Option 1'!AD193)</f>
        <v/>
      </c>
      <c r="D185" t="str">
        <f t="shared" si="23"/>
        <v/>
      </c>
      <c r="E185" s="105" t="str">
        <f t="shared" si="15"/>
        <v/>
      </c>
      <c r="F185" s="105">
        <v>181</v>
      </c>
      <c r="G185" t="str">
        <f t="shared" si="16"/>
        <v/>
      </c>
      <c r="H185" t="str">
        <f t="shared" si="17"/>
        <v/>
      </c>
      <c r="I185" t="str">
        <f t="shared" si="18"/>
        <v/>
      </c>
      <c r="J185" s="114" t="str">
        <f t="shared" si="21"/>
        <v/>
      </c>
    </row>
    <row r="186" spans="1:10">
      <c r="A186" t="str">
        <f t="shared" si="19"/>
        <v/>
      </c>
      <c r="B186">
        <f>'Option 1'!D194</f>
        <v>182</v>
      </c>
      <c r="C186" s="37" t="str">
        <f>IF('Option 1'!AD194="","",'Option 1'!AD194)</f>
        <v/>
      </c>
      <c r="D186" t="str">
        <f t="shared" si="23"/>
        <v/>
      </c>
      <c r="E186" s="105" t="str">
        <f t="shared" si="15"/>
        <v/>
      </c>
      <c r="F186" s="105">
        <v>182</v>
      </c>
      <c r="G186" t="str">
        <f t="shared" si="16"/>
        <v/>
      </c>
      <c r="H186" t="str">
        <f t="shared" si="17"/>
        <v/>
      </c>
      <c r="I186" t="str">
        <f t="shared" si="18"/>
        <v/>
      </c>
      <c r="J186" s="114" t="str">
        <f t="shared" si="21"/>
        <v/>
      </c>
    </row>
    <row r="187" spans="1:10">
      <c r="A187" t="str">
        <f t="shared" si="19"/>
        <v/>
      </c>
      <c r="B187">
        <f>'Option 1'!D195</f>
        <v>183</v>
      </c>
      <c r="C187" s="37" t="str">
        <f>IF('Option 1'!AD195="","",'Option 1'!AD195)</f>
        <v/>
      </c>
      <c r="D187" t="str">
        <f t="shared" si="23"/>
        <v/>
      </c>
      <c r="E187" s="105" t="str">
        <f t="shared" si="15"/>
        <v/>
      </c>
      <c r="F187" s="105">
        <v>183</v>
      </c>
      <c r="G187" t="str">
        <f t="shared" si="16"/>
        <v/>
      </c>
      <c r="H187" t="str">
        <f t="shared" si="17"/>
        <v/>
      </c>
      <c r="I187" t="str">
        <f t="shared" si="18"/>
        <v/>
      </c>
      <c r="J187" s="114" t="str">
        <f t="shared" si="21"/>
        <v/>
      </c>
    </row>
    <row r="188" spans="1:10">
      <c r="A188" t="str">
        <f t="shared" si="19"/>
        <v/>
      </c>
      <c r="B188">
        <f>'Option 1'!D196</f>
        <v>184</v>
      </c>
      <c r="C188" s="37" t="str">
        <f>IF('Option 1'!AD196="","",'Option 1'!AD196)</f>
        <v/>
      </c>
      <c r="D188" t="str">
        <f t="shared" si="23"/>
        <v/>
      </c>
      <c r="E188" s="105" t="str">
        <f t="shared" si="15"/>
        <v/>
      </c>
      <c r="F188" s="105">
        <v>184</v>
      </c>
      <c r="G188" t="str">
        <f t="shared" si="16"/>
        <v/>
      </c>
      <c r="H188" t="str">
        <f t="shared" si="17"/>
        <v/>
      </c>
      <c r="I188" t="str">
        <f t="shared" si="18"/>
        <v/>
      </c>
      <c r="J188" s="114" t="str">
        <f t="shared" si="21"/>
        <v/>
      </c>
    </row>
    <row r="189" spans="1:10">
      <c r="A189" t="str">
        <f t="shared" si="19"/>
        <v/>
      </c>
      <c r="B189">
        <f>'Option 1'!D197</f>
        <v>185</v>
      </c>
      <c r="C189" s="37" t="str">
        <f>IF('Option 1'!AD197="","",'Option 1'!AD197)</f>
        <v/>
      </c>
      <c r="D189" t="str">
        <f t="shared" si="23"/>
        <v/>
      </c>
      <c r="E189" s="105" t="str">
        <f t="shared" si="15"/>
        <v/>
      </c>
      <c r="F189" s="105">
        <v>185</v>
      </c>
      <c r="G189" t="str">
        <f t="shared" si="16"/>
        <v/>
      </c>
      <c r="H189" t="str">
        <f t="shared" si="17"/>
        <v/>
      </c>
      <c r="I189" t="str">
        <f t="shared" si="18"/>
        <v/>
      </c>
      <c r="J189" s="114" t="str">
        <f t="shared" si="21"/>
        <v/>
      </c>
    </row>
    <row r="190" spans="1:10">
      <c r="A190" t="str">
        <f t="shared" si="19"/>
        <v/>
      </c>
      <c r="B190">
        <f>'Option 1'!D198</f>
        <v>186</v>
      </c>
      <c r="C190" s="37" t="str">
        <f>IF('Option 1'!AD198="","",'Option 1'!AD198)</f>
        <v/>
      </c>
      <c r="D190" t="str">
        <f t="shared" si="23"/>
        <v/>
      </c>
      <c r="E190" s="105" t="str">
        <f t="shared" si="15"/>
        <v/>
      </c>
      <c r="F190" s="105">
        <v>186</v>
      </c>
      <c r="G190" t="str">
        <f t="shared" si="16"/>
        <v/>
      </c>
      <c r="H190" t="str">
        <f t="shared" si="17"/>
        <v/>
      </c>
      <c r="I190" t="str">
        <f t="shared" si="18"/>
        <v/>
      </c>
      <c r="J190" s="114" t="str">
        <f t="shared" si="21"/>
        <v/>
      </c>
    </row>
    <row r="191" spans="1:10">
      <c r="A191" t="str">
        <f t="shared" si="19"/>
        <v/>
      </c>
      <c r="B191">
        <f>'Option 1'!D199</f>
        <v>187</v>
      </c>
      <c r="C191" s="37" t="str">
        <f>IF('Option 1'!AD199="","",'Option 1'!AD199)</f>
        <v/>
      </c>
      <c r="D191" t="str">
        <f t="shared" si="23"/>
        <v/>
      </c>
      <c r="E191" s="105" t="str">
        <f t="shared" si="15"/>
        <v/>
      </c>
      <c r="F191" s="105">
        <v>187</v>
      </c>
      <c r="G191" t="str">
        <f t="shared" si="16"/>
        <v/>
      </c>
      <c r="H191" t="str">
        <f t="shared" si="17"/>
        <v/>
      </c>
      <c r="I191" t="str">
        <f t="shared" si="18"/>
        <v/>
      </c>
      <c r="J191" s="114" t="str">
        <f t="shared" si="21"/>
        <v/>
      </c>
    </row>
    <row r="192" spans="1:10">
      <c r="A192" t="str">
        <f t="shared" si="19"/>
        <v/>
      </c>
      <c r="B192">
        <f>'Option 1'!D200</f>
        <v>188</v>
      </c>
      <c r="C192" s="115" t="str">
        <f>IF('Option 1'!AD200="","",'Option 1'!AD200)</f>
        <v/>
      </c>
      <c r="D192" t="str">
        <f t="shared" si="23"/>
        <v/>
      </c>
      <c r="E192" s="105" t="str">
        <f t="shared" si="15"/>
        <v/>
      </c>
      <c r="F192" s="105">
        <v>188</v>
      </c>
      <c r="G192" t="str">
        <f t="shared" si="16"/>
        <v/>
      </c>
      <c r="H192" t="str">
        <f t="shared" si="17"/>
        <v/>
      </c>
      <c r="I192" t="str">
        <f t="shared" si="18"/>
        <v/>
      </c>
      <c r="J192" s="114" t="str">
        <f t="shared" si="21"/>
        <v/>
      </c>
    </row>
    <row r="193" spans="1:10">
      <c r="A193" t="str">
        <f t="shared" si="19"/>
        <v/>
      </c>
      <c r="B193">
        <f>'Option 1'!D201</f>
        <v>189</v>
      </c>
      <c r="C193" s="37" t="str">
        <f>IF('Option 1'!AD201="","",'Option 1'!AD201)</f>
        <v/>
      </c>
      <c r="D193" t="str">
        <f t="shared" si="23"/>
        <v/>
      </c>
      <c r="E193" s="105" t="str">
        <f t="shared" si="15"/>
        <v/>
      </c>
      <c r="F193" s="105">
        <v>189</v>
      </c>
      <c r="G193" t="str">
        <f t="shared" si="16"/>
        <v/>
      </c>
      <c r="H193" t="str">
        <f t="shared" si="17"/>
        <v/>
      </c>
      <c r="I193" t="str">
        <f t="shared" si="18"/>
        <v/>
      </c>
      <c r="J193" s="114" t="str">
        <f t="shared" si="21"/>
        <v/>
      </c>
    </row>
    <row r="194" spans="1:10">
      <c r="A194" t="str">
        <f t="shared" si="19"/>
        <v/>
      </c>
      <c r="B194">
        <f>'Option 1'!D202</f>
        <v>190</v>
      </c>
      <c r="C194" s="37" t="str">
        <f>IF('Option 1'!AD202="","",'Option 1'!AD202)</f>
        <v/>
      </c>
      <c r="D194" t="str">
        <f t="shared" si="23"/>
        <v/>
      </c>
      <c r="E194" s="105" t="str">
        <f t="shared" si="15"/>
        <v/>
      </c>
      <c r="F194" s="105">
        <v>190</v>
      </c>
      <c r="G194" t="str">
        <f t="shared" si="16"/>
        <v/>
      </c>
      <c r="H194" t="str">
        <f t="shared" si="17"/>
        <v/>
      </c>
      <c r="I194" t="str">
        <f t="shared" si="18"/>
        <v/>
      </c>
      <c r="J194" s="114" t="str">
        <f t="shared" si="21"/>
        <v/>
      </c>
    </row>
    <row r="195" spans="1:10">
      <c r="A195" t="str">
        <f t="shared" si="19"/>
        <v/>
      </c>
      <c r="B195">
        <f>'Option 1'!D203</f>
        <v>191</v>
      </c>
      <c r="C195" s="37" t="str">
        <f>IF('Option 1'!AD203="","",'Option 1'!AD203)</f>
        <v/>
      </c>
      <c r="D195" t="str">
        <f t="shared" si="23"/>
        <v/>
      </c>
      <c r="E195" s="105" t="str">
        <f t="shared" si="15"/>
        <v/>
      </c>
      <c r="F195" s="105">
        <v>191</v>
      </c>
      <c r="G195" t="str">
        <f t="shared" si="16"/>
        <v/>
      </c>
      <c r="H195" t="str">
        <f t="shared" si="17"/>
        <v/>
      </c>
      <c r="I195" t="str">
        <f t="shared" si="18"/>
        <v/>
      </c>
      <c r="J195" s="114" t="str">
        <f t="shared" si="21"/>
        <v/>
      </c>
    </row>
    <row r="196" spans="1:10">
      <c r="A196" t="str">
        <f t="shared" si="19"/>
        <v/>
      </c>
      <c r="B196">
        <f>'Option 1'!D204</f>
        <v>192</v>
      </c>
      <c r="C196" s="37" t="str">
        <f>IF('Option 1'!AD204="","",'Option 1'!AD204)</f>
        <v/>
      </c>
      <c r="D196" t="str">
        <f t="shared" si="23"/>
        <v/>
      </c>
      <c r="E196" s="105" t="str">
        <f t="shared" si="15"/>
        <v/>
      </c>
      <c r="F196" s="105">
        <v>192</v>
      </c>
      <c r="G196" t="str">
        <f t="shared" si="16"/>
        <v/>
      </c>
      <c r="H196" t="str">
        <f t="shared" si="17"/>
        <v/>
      </c>
      <c r="I196" t="str">
        <f t="shared" si="18"/>
        <v/>
      </c>
      <c r="J196" s="114" t="str">
        <f t="shared" si="21"/>
        <v/>
      </c>
    </row>
    <row r="197" spans="1:10">
      <c r="A197" t="str">
        <f t="shared" si="19"/>
        <v/>
      </c>
      <c r="B197">
        <f>'Option 1'!D205</f>
        <v>193</v>
      </c>
      <c r="C197" s="37" t="str">
        <f>IF('Option 1'!AD205="","",'Option 1'!AD205)</f>
        <v/>
      </c>
      <c r="D197" t="str">
        <f t="shared" si="23"/>
        <v/>
      </c>
      <c r="E197" s="105" t="str">
        <f t="shared" ref="E197:E204" si="24">IF(ISNA(VLOOKUP(B197,BCFast,2,FALSE)),"",VLOOKUP(B197,BCFast,2,FALSE))</f>
        <v/>
      </c>
      <c r="F197" s="105">
        <v>193</v>
      </c>
      <c r="G197" t="str">
        <f t="shared" ref="G197:G204" si="25">IF(ISERROR(VLOOKUP($F197,Result,9,FALSE)=""),"",VLOOKUP($F197,Result,9,FALSE))</f>
        <v/>
      </c>
      <c r="H197" t="str">
        <f t="shared" ref="H197:H204" si="26">IF(ISERROR(VLOOKUP($F197,Result,6,FALSE)),"",VLOOKUP($F197,Result,6,FALSE))</f>
        <v/>
      </c>
      <c r="I197" t="str">
        <f t="shared" ref="I197:I204" si="27">IF(ISERROR(VLOOKUP($F197,Result,17,FALSE)),"",(VLOOKUP($F197,Result,17,FALSE)))</f>
        <v/>
      </c>
      <c r="J197" s="114" t="str">
        <f t="shared" si="21"/>
        <v/>
      </c>
    </row>
    <row r="198" spans="1:10">
      <c r="A198" t="str">
        <f t="shared" ref="A198:A203" si="28">IF(D198="","",RANK(D198,$D$5:$D$204,1))</f>
        <v/>
      </c>
      <c r="B198">
        <f>'Option 1'!D206</f>
        <v>194</v>
      </c>
      <c r="C198" s="37" t="str">
        <f>IF('Option 1'!AD206="","",'Option 1'!AD206)</f>
        <v/>
      </c>
      <c r="D198" t="str">
        <f t="shared" si="23"/>
        <v/>
      </c>
      <c r="E198" s="105" t="str">
        <f t="shared" si="24"/>
        <v/>
      </c>
      <c r="F198" s="105">
        <v>194</v>
      </c>
      <c r="G198" t="str">
        <f t="shared" si="25"/>
        <v/>
      </c>
      <c r="H198" t="str">
        <f t="shared" si="26"/>
        <v/>
      </c>
      <c r="I198" t="str">
        <f t="shared" si="27"/>
        <v/>
      </c>
      <c r="J198" s="114" t="str">
        <f t="shared" ref="J198:J203" si="29">IF(ISERROR(VLOOKUP(F198,Result,30,FALSE)),"",(VLOOKUP(F198,Result,30,FALSE)))</f>
        <v/>
      </c>
    </row>
    <row r="199" spans="1:10">
      <c r="A199" t="str">
        <f t="shared" si="28"/>
        <v/>
      </c>
      <c r="B199">
        <f>'Option 1'!D207</f>
        <v>195</v>
      </c>
      <c r="C199" s="37" t="str">
        <f>IF('Option 1'!AD207="","",'Option 1'!AD207)</f>
        <v/>
      </c>
      <c r="D199" t="str">
        <f t="shared" si="23"/>
        <v/>
      </c>
      <c r="E199" s="105" t="str">
        <f t="shared" si="24"/>
        <v/>
      </c>
      <c r="F199" s="105">
        <v>195</v>
      </c>
      <c r="G199" t="str">
        <f t="shared" si="25"/>
        <v/>
      </c>
      <c r="H199" t="str">
        <f t="shared" si="26"/>
        <v/>
      </c>
      <c r="I199" t="str">
        <f t="shared" si="27"/>
        <v/>
      </c>
      <c r="J199" s="114" t="str">
        <f t="shared" si="29"/>
        <v/>
      </c>
    </row>
    <row r="200" spans="1:10">
      <c r="A200" t="str">
        <f t="shared" si="28"/>
        <v/>
      </c>
      <c r="B200">
        <f>'Option 1'!D208</f>
        <v>196</v>
      </c>
      <c r="C200" s="37" t="str">
        <f>IF('Option 1'!AD208="","",'Option 1'!AD208)</f>
        <v/>
      </c>
      <c r="D200" t="str">
        <f t="shared" si="23"/>
        <v/>
      </c>
      <c r="E200" s="105" t="str">
        <f t="shared" si="24"/>
        <v/>
      </c>
      <c r="F200" s="105">
        <v>196</v>
      </c>
      <c r="G200" t="str">
        <f t="shared" si="25"/>
        <v/>
      </c>
      <c r="H200" t="str">
        <f t="shared" si="26"/>
        <v/>
      </c>
      <c r="I200" t="str">
        <f t="shared" si="27"/>
        <v/>
      </c>
      <c r="J200" s="114" t="str">
        <f t="shared" si="29"/>
        <v/>
      </c>
    </row>
    <row r="201" spans="1:10">
      <c r="A201" t="str">
        <f t="shared" si="28"/>
        <v/>
      </c>
      <c r="B201">
        <f>'Option 1'!D209</f>
        <v>197</v>
      </c>
      <c r="C201" s="37" t="str">
        <f>IF('Option 1'!AD209="","",'Option 1'!AD209)</f>
        <v/>
      </c>
      <c r="D201" t="str">
        <f t="shared" si="23"/>
        <v/>
      </c>
      <c r="E201" s="105" t="str">
        <f t="shared" si="24"/>
        <v/>
      </c>
      <c r="F201" s="105">
        <v>197</v>
      </c>
      <c r="G201" t="str">
        <f t="shared" si="25"/>
        <v/>
      </c>
      <c r="H201" t="str">
        <f t="shared" si="26"/>
        <v/>
      </c>
      <c r="I201" t="str">
        <f t="shared" si="27"/>
        <v/>
      </c>
      <c r="J201" s="114" t="str">
        <f t="shared" si="29"/>
        <v/>
      </c>
    </row>
    <row r="202" spans="1:10">
      <c r="A202" t="str">
        <f t="shared" si="28"/>
        <v/>
      </c>
      <c r="B202">
        <f>'Option 1'!D210</f>
        <v>198</v>
      </c>
      <c r="C202" s="37" t="str">
        <f>IF('Option 1'!AD210="","",'Option 1'!AD210)</f>
        <v/>
      </c>
      <c r="D202" t="str">
        <f t="shared" si="23"/>
        <v/>
      </c>
      <c r="E202" s="105" t="str">
        <f t="shared" si="24"/>
        <v/>
      </c>
      <c r="F202" s="105">
        <v>198</v>
      </c>
      <c r="G202" t="str">
        <f t="shared" si="25"/>
        <v/>
      </c>
      <c r="H202" t="str">
        <f t="shared" si="26"/>
        <v/>
      </c>
      <c r="I202" t="str">
        <f t="shared" si="27"/>
        <v/>
      </c>
      <c r="J202" s="114" t="str">
        <f t="shared" si="29"/>
        <v/>
      </c>
    </row>
    <row r="203" spans="1:10">
      <c r="A203" t="str">
        <f t="shared" si="28"/>
        <v/>
      </c>
      <c r="B203">
        <f>'Option 1'!D211</f>
        <v>199</v>
      </c>
      <c r="C203" s="37" t="str">
        <f>IF('Option 1'!AD211="","",'Option 1'!AD211)</f>
        <v/>
      </c>
      <c r="D203" t="str">
        <f t="shared" si="23"/>
        <v/>
      </c>
      <c r="E203" s="105" t="str">
        <f t="shared" si="24"/>
        <v/>
      </c>
      <c r="F203" s="105">
        <v>199</v>
      </c>
      <c r="G203" t="str">
        <f t="shared" si="25"/>
        <v/>
      </c>
      <c r="H203" t="str">
        <f t="shared" si="26"/>
        <v/>
      </c>
      <c r="I203" t="str">
        <f t="shared" si="27"/>
        <v/>
      </c>
      <c r="J203" s="114" t="str">
        <f t="shared" si="29"/>
        <v/>
      </c>
    </row>
    <row r="204" spans="1:10">
      <c r="A204" t="str">
        <f>IF(D204="","",RANK(D204,$D$5:$D$204,1))</f>
        <v/>
      </c>
      <c r="B204">
        <f>'Option 1'!D212</f>
        <v>200</v>
      </c>
      <c r="C204" s="37" t="str">
        <f>IF('Option 1'!AD212="","",'Option 1'!AD212)</f>
        <v/>
      </c>
      <c r="D204" t="str">
        <f t="shared" si="23"/>
        <v/>
      </c>
      <c r="E204" s="105" t="str">
        <f t="shared" si="24"/>
        <v/>
      </c>
      <c r="F204" s="105">
        <v>200</v>
      </c>
      <c r="G204" t="str">
        <f t="shared" si="25"/>
        <v/>
      </c>
      <c r="H204" t="str">
        <f t="shared" si="26"/>
        <v/>
      </c>
      <c r="I204" t="str">
        <f t="shared" si="27"/>
        <v/>
      </c>
      <c r="J204" s="114" t="str">
        <f t="shared" ref="J204" si="30">IF(ISERROR(VLOOKUP(F204,Result,30,FALSE)),"",(VLOOKUP(F204,Result,30,FALSE)))</f>
        <v/>
      </c>
    </row>
    <row r="205" spans="1:10">
      <c r="E205" s="105"/>
      <c r="J205" s="114"/>
    </row>
    <row r="206" spans="1:10">
      <c r="E206" s="105"/>
      <c r="J206" s="114"/>
    </row>
    <row r="207" spans="1:10">
      <c r="E207" s="105"/>
      <c r="J207" s="114"/>
    </row>
    <row r="208" spans="1:10">
      <c r="E208" s="105"/>
      <c r="J208" s="114"/>
    </row>
    <row r="209" spans="5:10">
      <c r="E209" s="105"/>
      <c r="J209" s="114"/>
    </row>
    <row r="210" spans="5:10">
      <c r="E210" s="105"/>
      <c r="J210" s="114"/>
    </row>
    <row r="211" spans="5:10">
      <c r="E211" s="105"/>
      <c r="J211" s="114"/>
    </row>
    <row r="212" spans="5:10">
      <c r="E212" s="105"/>
      <c r="J212" s="114"/>
    </row>
    <row r="213" spans="5:10">
      <c r="E213" s="105"/>
      <c r="J213" s="114"/>
    </row>
    <row r="214" spans="5:10">
      <c r="E214" s="105"/>
      <c r="J214" s="114"/>
    </row>
    <row r="215" spans="5:10">
      <c r="E215" s="105"/>
      <c r="J215" s="114"/>
    </row>
    <row r="216" spans="5:10">
      <c r="E216" s="105"/>
      <c r="J216" s="114"/>
    </row>
    <row r="217" spans="5:10">
      <c r="E217" s="105"/>
      <c r="J217" s="114"/>
    </row>
    <row r="218" spans="5:10">
      <c r="J218" s="114"/>
    </row>
    <row r="219" spans="5:10">
      <c r="J219" s="114"/>
    </row>
    <row r="220" spans="5:10">
      <c r="J220" s="114"/>
    </row>
    <row r="221" spans="5:10">
      <c r="J221" s="114"/>
    </row>
  </sheetData>
  <sheetProtection password="BC93" sheet="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249977111117893"/>
  </sheetPr>
  <dimension ref="A1:AC209"/>
  <sheetViews>
    <sheetView showGridLines="0" topLeftCell="G1" workbookViewId="0">
      <selection activeCell="AG11" sqref="AG11"/>
    </sheetView>
  </sheetViews>
  <sheetFormatPr defaultRowHeight="13.15"/>
  <cols>
    <col min="1" max="1" width="4.85546875" hidden="1" customWidth="1"/>
    <col min="2" max="2" width="4.42578125" hidden="1" customWidth="1"/>
    <col min="3" max="3" width="4.140625" hidden="1" customWidth="1"/>
    <col min="4" max="5" width="9.140625" hidden="1" customWidth="1"/>
    <col min="6" max="6" width="4.7109375" hidden="1" customWidth="1"/>
    <col min="7" max="8" width="4.7109375" customWidth="1"/>
    <col min="9" max="22" width="2.7109375" customWidth="1"/>
    <col min="23" max="23" width="10.7109375" customWidth="1"/>
    <col min="24" max="26" width="2.7109375" customWidth="1"/>
    <col min="27" max="28" width="7.85546875" customWidth="1"/>
    <col min="29" max="29" width="2.7109375" customWidth="1"/>
  </cols>
  <sheetData>
    <row r="1" spans="1:29" ht="56.25" customHeight="1">
      <c r="K1" s="94" t="s">
        <v>114</v>
      </c>
      <c r="L1" s="83"/>
      <c r="M1" s="83"/>
      <c r="N1" s="83"/>
      <c r="O1" s="83"/>
      <c r="P1" s="83"/>
      <c r="Q1" s="94"/>
      <c r="R1" s="94"/>
      <c r="S1" s="94"/>
      <c r="T1" s="94"/>
      <c r="U1" s="94"/>
      <c r="V1" s="94"/>
      <c r="W1" s="94"/>
      <c r="X1" s="83"/>
      <c r="Y1" s="83"/>
      <c r="Z1" s="83"/>
    </row>
    <row r="3" spans="1:29">
      <c r="I3" s="3" t="s">
        <v>90</v>
      </c>
      <c r="K3" s="91" t="str">
        <f>(IF(FacingSheet!B8="","",FacingSheet!B8))</f>
        <v>Ronnie MacDonald 10 mile TT</v>
      </c>
      <c r="L3" s="91"/>
      <c r="M3" s="91"/>
      <c r="N3" s="91"/>
      <c r="O3" s="91"/>
      <c r="P3" s="91"/>
      <c r="Q3" s="91"/>
      <c r="R3" s="91"/>
      <c r="S3" s="91"/>
      <c r="T3" s="91"/>
      <c r="W3" s="3" t="s">
        <v>26</v>
      </c>
      <c r="Y3" s="383" t="str">
        <f>(IF(FacingSheet!B14="","",FacingSheet!B14))</f>
        <v/>
      </c>
      <c r="Z3" s="383"/>
      <c r="AA3" s="383"/>
      <c r="AB3" s="383"/>
    </row>
    <row r="4" spans="1:29">
      <c r="I4" s="3" t="s">
        <v>91</v>
      </c>
      <c r="K4" s="359">
        <f>IF(ISERROR(FacingSheet!S9),"",FacingSheet!S9)</f>
        <v>45907</v>
      </c>
      <c r="L4" s="324"/>
      <c r="M4" s="324"/>
      <c r="N4" s="324"/>
      <c r="O4" s="324"/>
      <c r="P4" s="324"/>
      <c r="Q4" s="324"/>
      <c r="R4" s="324"/>
      <c r="S4" s="324"/>
      <c r="T4" s="324"/>
      <c r="W4" s="34" t="s">
        <v>24</v>
      </c>
      <c r="Y4" s="372" t="str">
        <f>(IF(FacingSheet!B13="","",FacingSheet!B13))</f>
        <v>A9</v>
      </c>
      <c r="Z4" s="372"/>
      <c r="AA4" s="372"/>
      <c r="AB4" s="372"/>
    </row>
    <row r="5" spans="1:29">
      <c r="I5" s="34" t="s">
        <v>92</v>
      </c>
      <c r="K5" s="324">
        <f>IF(FacingSheet!B11="",FacingSheet!B12,FacingSheet!B11)</f>
        <v>10</v>
      </c>
      <c r="L5" s="324"/>
      <c r="M5" s="93" t="s">
        <v>93</v>
      </c>
      <c r="N5" s="44"/>
      <c r="O5" s="44"/>
      <c r="P5" s="44"/>
      <c r="Q5" s="44"/>
      <c r="R5" s="44"/>
      <c r="S5" s="44"/>
      <c r="T5" s="44"/>
      <c r="W5" s="3" t="s">
        <v>30</v>
      </c>
      <c r="Y5" s="372" t="str">
        <f>(IF(FacingSheet!B17="","",FacingSheet!B17))</f>
        <v>Gavin Clarke</v>
      </c>
      <c r="Z5" s="372"/>
      <c r="AA5" s="372"/>
      <c r="AB5" s="372"/>
    </row>
    <row r="6" spans="1:29">
      <c r="I6" s="34" t="s">
        <v>27</v>
      </c>
      <c r="K6" s="92" t="str">
        <f>(IF(FacingSheet!B15="","",FacingSheet!B15))</f>
        <v>James Robertson</v>
      </c>
      <c r="L6" s="92"/>
      <c r="M6" s="91"/>
      <c r="N6" s="91"/>
      <c r="O6" s="91"/>
      <c r="P6" s="91"/>
      <c r="Q6" s="91"/>
      <c r="R6" s="91"/>
      <c r="S6" s="91"/>
      <c r="T6" s="91"/>
      <c r="W6" s="34" t="s">
        <v>94</v>
      </c>
      <c r="Y6" s="372">
        <f>(IF(FacingSheet!B16="","",FacingSheet!B16))</f>
        <v>7713506988</v>
      </c>
      <c r="Z6" s="372"/>
      <c r="AA6" s="372"/>
      <c r="AB6" s="372"/>
    </row>
    <row r="7" spans="1:29" ht="7.5" customHeight="1"/>
    <row r="9" spans="1:29">
      <c r="F9" s="97" t="s">
        <v>103</v>
      </c>
      <c r="G9" s="186" t="s">
        <v>103</v>
      </c>
      <c r="H9" s="186" t="s">
        <v>71</v>
      </c>
      <c r="I9" s="187" t="s">
        <v>41</v>
      </c>
      <c r="J9" s="187"/>
      <c r="K9" s="187"/>
      <c r="L9" s="187"/>
      <c r="M9" s="187"/>
      <c r="N9" s="187"/>
      <c r="O9" s="187"/>
      <c r="P9" s="187" t="s">
        <v>98</v>
      </c>
      <c r="Q9" s="187"/>
      <c r="R9" s="187"/>
      <c r="S9" s="187"/>
      <c r="T9" s="187"/>
      <c r="U9" s="187"/>
      <c r="V9" s="187"/>
      <c r="W9" s="187"/>
      <c r="X9" s="188" t="s">
        <v>43</v>
      </c>
      <c r="Y9" s="188"/>
      <c r="Z9" s="187"/>
      <c r="AA9" s="187" t="s">
        <v>87</v>
      </c>
      <c r="AB9" s="188" t="s">
        <v>115</v>
      </c>
      <c r="AC9" s="98"/>
    </row>
    <row r="10" spans="1:29" ht="12.75" customHeight="1">
      <c r="A10" t="str">
        <f>IF(ISERROR(RANK(E10,$E$10:$E$209,0)),"",RANK(E10,$E$10:$E$209,0))</f>
        <v/>
      </c>
      <c r="B10">
        <f>Fastest!C10</f>
        <v>73</v>
      </c>
      <c r="C10" t="str">
        <f>Fastest!AB10</f>
        <v/>
      </c>
      <c r="D10" t="str">
        <f>IF(ISNA(Fastest!AC10),"",Fastest!AC10)</f>
        <v/>
      </c>
      <c r="E10" t="str">
        <f>IF(D10="","",IF(C10="+",D10 + 1 + 0.000000001*ROW(),1 + 0.000000001*ROW()-D10))</f>
        <v/>
      </c>
      <c r="F10" s="96">
        <v>1</v>
      </c>
      <c r="G10" s="165">
        <v>1</v>
      </c>
      <c r="H10" s="166">
        <f t="shared" ref="H10:H41" si="0">IF(IF(ISNA(VLOOKUP($F10,Vet,2,FALSE)),"",VLOOKUP($F10,Vet,2,FALSE))=0,"",IF(ISNA(VLOOKUP($F10,Vet,2,FALSE)),"",VLOOKUP($F10,Vet,2,FALSE)))</f>
        <v>50</v>
      </c>
      <c r="I10" s="167" t="str">
        <f t="shared" ref="I10:I41" si="1">IF(IF(ISNA(VLOOKUP($H10,Field,2,FALSE)),"",VLOOKUP($H10,Field,2,FALSE))=0,"",IF(ISNA(VLOOKUP($H10,Field,2,FALSE)),"",VLOOKUP($H10,Field,2,FALSE)))</f>
        <v>Garry Greenaway</v>
      </c>
      <c r="J10" s="168"/>
      <c r="K10" s="168"/>
      <c r="L10" s="168"/>
      <c r="M10" s="168"/>
      <c r="N10" s="168"/>
      <c r="O10" s="168"/>
      <c r="P10" s="167" t="str">
        <f t="shared" ref="P10:P41" si="2">IF(IF(ISNA(VLOOKUP($H10,Field,3,FALSE)),"",VLOOKUP($H10,Field,3,FALSE))=0,"",IF(ISNA(VLOOKUP($H10,Field,3,FALSE)),"",VLOOKUP($H10,Field,3,FALSE)))</f>
        <v>Vanelli-Project Go</v>
      </c>
      <c r="Q10" s="168"/>
      <c r="R10" s="168"/>
      <c r="S10" s="168"/>
      <c r="T10" s="168"/>
      <c r="U10" s="168"/>
      <c r="V10" s="168"/>
      <c r="W10" s="138"/>
      <c r="X10" s="169" t="str">
        <f t="shared" ref="X10:X41" si="3">IF(IF(ISNA(VLOOKUP($H10,Field,5,FALSE)),"",VLOOKUP($H10,Field,5,FALSE))=0,"",IF(ISNA(VLOOKUP($H10,Field,5,FALSE)),"",VLOOKUP($H10,Field,5,FALSE)))</f>
        <v>V</v>
      </c>
      <c r="Y10" s="170"/>
      <c r="Z10" s="139" t="str">
        <f t="shared" ref="Z10:Z41" si="4">IF(IF(ISNA(VLOOKUP($H10,Field,14,FALSE)),"",VLOOKUP($H10,Field,14,FALSE))=0,"",IF(ISNA(VLOOKUP($H10,Field,14,FALSE)),"",VLOOKUP($H10,Field,14,FALSE)))</f>
        <v>+</v>
      </c>
      <c r="AA10" s="171">
        <f t="shared" ref="AA10:AA41" si="5">IF(IF(ISNA(VLOOKUP($H10,Field,15,FALSE)),"",VLOOKUP($H10,Field,15,FALSE))=0,"",IF(ISNA(VLOOKUP($H10,Field,15,FALSE)),"",VLOOKUP($H10,Field,15,FALSE)))</f>
        <v>4.6296296296294837E-3</v>
      </c>
      <c r="AB10" s="172"/>
      <c r="AC10" s="173"/>
    </row>
    <row r="11" spans="1:29">
      <c r="A11" t="str">
        <f t="shared" ref="A11:A74" si="6">IF(ISERROR(RANK(E11,$E$10:$E$209,0)),"",RANK(E11,$E$10:$E$209,0))</f>
        <v/>
      </c>
      <c r="B11">
        <f>Fastest!C11</f>
        <v>75</v>
      </c>
      <c r="C11" t="str">
        <f>Fastest!AB11</f>
        <v/>
      </c>
      <c r="D11" t="str">
        <f>IF(ISNA(Fastest!AC11),"",Fastest!AC11)</f>
        <v/>
      </c>
      <c r="E11" t="str">
        <f t="shared" ref="E11:E74" si="7">IF(D11="","",IF(C11="+",D11 + 1 + 0.000000001*ROW(),1 + 0.000000001*ROW()-D11))</f>
        <v/>
      </c>
      <c r="F11" s="95">
        <v>2</v>
      </c>
      <c r="G11" s="174">
        <v>2</v>
      </c>
      <c r="H11" s="175">
        <f t="shared" si="0"/>
        <v>56</v>
      </c>
      <c r="I11" s="176" t="str">
        <f t="shared" si="1"/>
        <v>Alasdair Washington</v>
      </c>
      <c r="J11" s="177"/>
      <c r="K11" s="177"/>
      <c r="L11" s="177"/>
      <c r="M11" s="177"/>
      <c r="N11" s="177"/>
      <c r="O11" s="177"/>
      <c r="P11" s="176" t="str">
        <f t="shared" si="2"/>
        <v>Caithness CC</v>
      </c>
      <c r="Q11" s="177"/>
      <c r="R11" s="177"/>
      <c r="S11" s="177"/>
      <c r="T11" s="177"/>
      <c r="U11" s="177"/>
      <c r="V11" s="177"/>
      <c r="W11" s="144"/>
      <c r="X11" s="178" t="str">
        <f t="shared" si="3"/>
        <v>V</v>
      </c>
      <c r="Y11" s="179"/>
      <c r="Z11" s="145" t="str">
        <f t="shared" si="4"/>
        <v>+</v>
      </c>
      <c r="AA11" s="146">
        <f t="shared" si="5"/>
        <v>4.4791666666665376E-3</v>
      </c>
      <c r="AB11" s="180"/>
      <c r="AC11" s="156"/>
    </row>
    <row r="12" spans="1:29">
      <c r="A12" t="str">
        <f t="shared" si="6"/>
        <v/>
      </c>
      <c r="B12">
        <f>Fastest!C12</f>
        <v>65</v>
      </c>
      <c r="C12" t="str">
        <f>Fastest!AB12</f>
        <v/>
      </c>
      <c r="D12" t="str">
        <f>IF(ISNA(Fastest!AC12),"",Fastest!AC12)</f>
        <v/>
      </c>
      <c r="E12" t="str">
        <f t="shared" si="7"/>
        <v/>
      </c>
      <c r="F12" s="95">
        <v>3</v>
      </c>
      <c r="G12" s="174">
        <v>3</v>
      </c>
      <c r="H12" s="175">
        <f t="shared" si="0"/>
        <v>40</v>
      </c>
      <c r="I12" s="176" t="str">
        <f t="shared" si="1"/>
        <v>Daniel Long</v>
      </c>
      <c r="J12" s="177"/>
      <c r="K12" s="177"/>
      <c r="L12" s="177"/>
      <c r="M12" s="177"/>
      <c r="N12" s="177"/>
      <c r="O12" s="177"/>
      <c r="P12" s="176" t="str">
        <f t="shared" si="2"/>
        <v>Elgin CC</v>
      </c>
      <c r="Q12" s="177"/>
      <c r="R12" s="177"/>
      <c r="S12" s="177"/>
      <c r="T12" s="177"/>
      <c r="U12" s="177"/>
      <c r="V12" s="177"/>
      <c r="W12" s="144"/>
      <c r="X12" s="178" t="str">
        <f t="shared" si="3"/>
        <v>V</v>
      </c>
      <c r="Y12" s="179"/>
      <c r="Z12" s="145" t="str">
        <f t="shared" si="4"/>
        <v>+</v>
      </c>
      <c r="AA12" s="146">
        <f t="shared" si="5"/>
        <v>4.0162037037036052E-3</v>
      </c>
      <c r="AB12" s="180"/>
      <c r="AC12" s="156"/>
    </row>
    <row r="13" spans="1:29">
      <c r="A13">
        <f t="shared" si="6"/>
        <v>7</v>
      </c>
      <c r="B13">
        <f>Fastest!C13</f>
        <v>55</v>
      </c>
      <c r="C13" t="str">
        <f>Fastest!AB13</f>
        <v>+</v>
      </c>
      <c r="D13">
        <f>IF(ISNA(Fastest!AC13),"",Fastest!AC13)</f>
        <v>3.8888888888887439E-3</v>
      </c>
      <c r="E13">
        <f t="shared" si="7"/>
        <v>1.0038889018888888</v>
      </c>
      <c r="F13" s="95">
        <v>4</v>
      </c>
      <c r="G13" s="174">
        <v>4</v>
      </c>
      <c r="H13" s="175">
        <f t="shared" si="0"/>
        <v>38</v>
      </c>
      <c r="I13" s="176" t="str">
        <f t="shared" si="1"/>
        <v>Alison Roger</v>
      </c>
      <c r="J13" s="177"/>
      <c r="K13" s="177"/>
      <c r="L13" s="177"/>
      <c r="M13" s="177"/>
      <c r="N13" s="177"/>
      <c r="O13" s="177"/>
      <c r="P13" s="176" t="str">
        <f t="shared" si="2"/>
        <v>North Argyll Cycle Club</v>
      </c>
      <c r="Q13" s="177"/>
      <c r="R13" s="177"/>
      <c r="S13" s="177"/>
      <c r="T13" s="177"/>
      <c r="U13" s="177"/>
      <c r="V13" s="177"/>
      <c r="W13" s="144"/>
      <c r="X13" s="178" t="str">
        <f t="shared" si="3"/>
        <v>FV</v>
      </c>
      <c r="Y13" s="179"/>
      <c r="Z13" s="145" t="str">
        <f t="shared" si="4"/>
        <v>+</v>
      </c>
      <c r="AA13" s="146">
        <f t="shared" si="5"/>
        <v>4.0046296296295213E-3</v>
      </c>
      <c r="AB13" s="180"/>
      <c r="AC13" s="156"/>
    </row>
    <row r="14" spans="1:29">
      <c r="A14">
        <f t="shared" si="6"/>
        <v>1</v>
      </c>
      <c r="B14">
        <f>Fastest!C14</f>
        <v>50</v>
      </c>
      <c r="C14" t="str">
        <f>Fastest!AB14</f>
        <v>+</v>
      </c>
      <c r="D14">
        <f>IF(ISNA(Fastest!AC14),"",Fastest!AC14)</f>
        <v>4.6296296296294837E-3</v>
      </c>
      <c r="E14">
        <f t="shared" si="7"/>
        <v>1.0046296436296296</v>
      </c>
      <c r="F14" s="95">
        <v>5</v>
      </c>
      <c r="G14" s="174">
        <v>5</v>
      </c>
      <c r="H14" s="175">
        <f t="shared" si="0"/>
        <v>44</v>
      </c>
      <c r="I14" s="176" t="str">
        <f t="shared" si="1"/>
        <v>Robert Cowie</v>
      </c>
      <c r="J14" s="177"/>
      <c r="K14" s="177"/>
      <c r="L14" s="177"/>
      <c r="M14" s="177"/>
      <c r="N14" s="177"/>
      <c r="O14" s="177"/>
      <c r="P14" s="176" t="str">
        <f t="shared" si="2"/>
        <v>Aberdeen Wheelers Cycling Club</v>
      </c>
      <c r="Q14" s="177"/>
      <c r="R14" s="177"/>
      <c r="S14" s="177"/>
      <c r="T14" s="177"/>
      <c r="U14" s="177"/>
      <c r="V14" s="177"/>
      <c r="W14" s="144"/>
      <c r="X14" s="178" t="str">
        <f t="shared" si="3"/>
        <v>V</v>
      </c>
      <c r="Y14" s="179"/>
      <c r="Z14" s="145" t="str">
        <f t="shared" si="4"/>
        <v>+</v>
      </c>
      <c r="AA14" s="146">
        <f t="shared" si="5"/>
        <v>3.993055555555472E-3</v>
      </c>
      <c r="AB14" s="180"/>
      <c r="AC14" s="156"/>
    </row>
    <row r="15" spans="1:29">
      <c r="A15">
        <f t="shared" si="6"/>
        <v>3</v>
      </c>
      <c r="B15">
        <f>Fastest!C15</f>
        <v>40</v>
      </c>
      <c r="C15" t="str">
        <f>Fastest!AB15</f>
        <v>+</v>
      </c>
      <c r="D15">
        <f>IF(ISNA(Fastest!AC15),"",Fastest!AC15)</f>
        <v>4.0162037037036052E-3</v>
      </c>
      <c r="E15">
        <f t="shared" si="7"/>
        <v>1.0040162187037036</v>
      </c>
      <c r="F15" s="95">
        <v>6</v>
      </c>
      <c r="G15" s="174">
        <v>6</v>
      </c>
      <c r="H15" s="175">
        <f t="shared" si="0"/>
        <v>27</v>
      </c>
      <c r="I15" s="176" t="str">
        <f t="shared" si="1"/>
        <v>Lorna Breetzke</v>
      </c>
      <c r="J15" s="177"/>
      <c r="K15" s="177"/>
      <c r="L15" s="177"/>
      <c r="M15" s="177"/>
      <c r="N15" s="177"/>
      <c r="O15" s="177"/>
      <c r="P15" s="176" t="str">
        <f t="shared" si="2"/>
        <v>Elgin CC</v>
      </c>
      <c r="Q15" s="177"/>
      <c r="R15" s="177"/>
      <c r="S15" s="177"/>
      <c r="T15" s="177"/>
      <c r="U15" s="177"/>
      <c r="V15" s="177"/>
      <c r="W15" s="144"/>
      <c r="X15" s="178" t="str">
        <f t="shared" si="3"/>
        <v>FV</v>
      </c>
      <c r="Y15" s="179"/>
      <c r="Z15" s="145" t="str">
        <f t="shared" si="4"/>
        <v>+</v>
      </c>
      <c r="AA15" s="146">
        <f t="shared" si="5"/>
        <v>3.946759259259195E-3</v>
      </c>
      <c r="AB15" s="180"/>
      <c r="AC15" s="156"/>
    </row>
    <row r="16" spans="1:29">
      <c r="A16">
        <f t="shared" si="6"/>
        <v>8</v>
      </c>
      <c r="B16">
        <f>Fastest!C16</f>
        <v>35</v>
      </c>
      <c r="C16" t="str">
        <f>Fastest!AB16</f>
        <v>+</v>
      </c>
      <c r="D16">
        <f>IF(ISNA(Fastest!AC16),"",Fastest!AC16)</f>
        <v>3.7731481481480672E-3</v>
      </c>
      <c r="E16">
        <f t="shared" si="7"/>
        <v>1.003773164148148</v>
      </c>
      <c r="F16" s="95">
        <v>7</v>
      </c>
      <c r="G16" s="174">
        <v>7</v>
      </c>
      <c r="H16" s="175">
        <f t="shared" si="0"/>
        <v>55</v>
      </c>
      <c r="I16" s="176" t="str">
        <f t="shared" si="1"/>
        <v>Chris Petrie</v>
      </c>
      <c r="J16" s="177"/>
      <c r="K16" s="177"/>
      <c r="L16" s="177"/>
      <c r="M16" s="177"/>
      <c r="N16" s="177"/>
      <c r="O16" s="177"/>
      <c r="P16" s="176" t="str">
        <f t="shared" si="2"/>
        <v>Aberdeen Wheelers Cycling Club</v>
      </c>
      <c r="Q16" s="177"/>
      <c r="R16" s="177"/>
      <c r="S16" s="177"/>
      <c r="T16" s="177"/>
      <c r="U16" s="177"/>
      <c r="V16" s="177"/>
      <c r="W16" s="144"/>
      <c r="X16" s="178" t="str">
        <f t="shared" si="3"/>
        <v>V</v>
      </c>
      <c r="Y16" s="179"/>
      <c r="Z16" s="145" t="str">
        <f t="shared" si="4"/>
        <v>+</v>
      </c>
      <c r="AA16" s="146">
        <f t="shared" si="5"/>
        <v>3.8888888888887439E-3</v>
      </c>
      <c r="AB16" s="180"/>
      <c r="AC16" s="156"/>
    </row>
    <row r="17" spans="1:29">
      <c r="A17" t="str">
        <f t="shared" si="6"/>
        <v/>
      </c>
      <c r="B17">
        <f>Fastest!C17</f>
        <v>15</v>
      </c>
      <c r="C17" t="str">
        <f>Fastest!AB17</f>
        <v/>
      </c>
      <c r="D17" t="str">
        <f>IF(ISNA(Fastest!AC17),"",Fastest!AC17)</f>
        <v/>
      </c>
      <c r="E17" t="str">
        <f t="shared" si="7"/>
        <v/>
      </c>
      <c r="F17" s="95">
        <v>8</v>
      </c>
      <c r="G17" s="174">
        <v>8</v>
      </c>
      <c r="H17" s="175">
        <f t="shared" si="0"/>
        <v>35</v>
      </c>
      <c r="I17" s="176" t="str">
        <f t="shared" si="1"/>
        <v>Robin Atkinson</v>
      </c>
      <c r="J17" s="177"/>
      <c r="K17" s="177"/>
      <c r="L17" s="177"/>
      <c r="M17" s="177"/>
      <c r="N17" s="177"/>
      <c r="O17" s="177"/>
      <c r="P17" s="176" t="str">
        <f t="shared" si="2"/>
        <v>Shetland Wheelers</v>
      </c>
      <c r="Q17" s="177"/>
      <c r="R17" s="177"/>
      <c r="S17" s="177"/>
      <c r="T17" s="177"/>
      <c r="U17" s="177"/>
      <c r="V17" s="177"/>
      <c r="W17" s="144"/>
      <c r="X17" s="178" t="str">
        <f t="shared" si="3"/>
        <v>V</v>
      </c>
      <c r="Y17" s="179"/>
      <c r="Z17" s="145" t="str">
        <f t="shared" si="4"/>
        <v>+</v>
      </c>
      <c r="AA17" s="146">
        <f t="shared" si="5"/>
        <v>3.7731481481480672E-3</v>
      </c>
      <c r="AB17" s="180"/>
      <c r="AC17" s="156"/>
    </row>
    <row r="18" spans="1:29">
      <c r="A18" t="str">
        <f t="shared" si="6"/>
        <v/>
      </c>
      <c r="B18">
        <f>Fastest!C18</f>
        <v>66</v>
      </c>
      <c r="C18" t="str">
        <f>Fastest!AB18</f>
        <v/>
      </c>
      <c r="D18" t="str">
        <f>IF(ISNA(Fastest!AC18),"",Fastest!AC18)</f>
        <v/>
      </c>
      <c r="E18" t="str">
        <f t="shared" si="7"/>
        <v/>
      </c>
      <c r="F18" s="95">
        <v>9</v>
      </c>
      <c r="G18" s="174">
        <v>9</v>
      </c>
      <c r="H18" s="175">
        <f t="shared" si="0"/>
        <v>30</v>
      </c>
      <c r="I18" s="176" t="str">
        <f t="shared" si="1"/>
        <v>Tom Broadbent</v>
      </c>
      <c r="J18" s="177"/>
      <c r="K18" s="177"/>
      <c r="L18" s="177"/>
      <c r="M18" s="177"/>
      <c r="N18" s="177"/>
      <c r="O18" s="177"/>
      <c r="P18" s="176" t="str">
        <f t="shared" si="2"/>
        <v>MGC RT</v>
      </c>
      <c r="Q18" s="177"/>
      <c r="R18" s="177"/>
      <c r="S18" s="177"/>
      <c r="T18" s="177"/>
      <c r="U18" s="177"/>
      <c r="V18" s="177"/>
      <c r="W18" s="144"/>
      <c r="X18" s="178" t="str">
        <f t="shared" si="3"/>
        <v>V</v>
      </c>
      <c r="Y18" s="179"/>
      <c r="Z18" s="145" t="str">
        <f t="shared" si="4"/>
        <v>+</v>
      </c>
      <c r="AA18" s="146">
        <f t="shared" si="5"/>
        <v>3.6342592592551858E-3</v>
      </c>
      <c r="AB18" s="180"/>
      <c r="AC18" s="156"/>
    </row>
    <row r="19" spans="1:29">
      <c r="A19">
        <f t="shared" si="6"/>
        <v>9</v>
      </c>
      <c r="B19">
        <f>Fastest!C19</f>
        <v>30</v>
      </c>
      <c r="C19" t="str">
        <f>Fastest!AB19</f>
        <v>+</v>
      </c>
      <c r="D19">
        <f>IF(ISNA(Fastest!AC19),"",Fastest!AC19)</f>
        <v>3.6342592592551858E-3</v>
      </c>
      <c r="E19">
        <f t="shared" si="7"/>
        <v>1.0036342782592551</v>
      </c>
      <c r="F19" s="95">
        <v>10</v>
      </c>
      <c r="G19" s="174">
        <v>10</v>
      </c>
      <c r="H19" s="175">
        <f t="shared" si="0"/>
        <v>47</v>
      </c>
      <c r="I19" s="176" t="str">
        <f t="shared" si="1"/>
        <v>Douglas Macdonald</v>
      </c>
      <c r="J19" s="177"/>
      <c r="K19" s="177"/>
      <c r="L19" s="177"/>
      <c r="M19" s="177"/>
      <c r="N19" s="177"/>
      <c r="O19" s="177"/>
      <c r="P19" s="176" t="str">
        <f t="shared" si="2"/>
        <v>Fullarton Wheelers Cycling Club</v>
      </c>
      <c r="Q19" s="177"/>
      <c r="R19" s="177"/>
      <c r="S19" s="177"/>
      <c r="T19" s="177"/>
      <c r="U19" s="177"/>
      <c r="V19" s="177"/>
      <c r="W19" s="144"/>
      <c r="X19" s="178" t="str">
        <f t="shared" si="3"/>
        <v>V</v>
      </c>
      <c r="Y19" s="179"/>
      <c r="Z19" s="145" t="str">
        <f t="shared" si="4"/>
        <v>+</v>
      </c>
      <c r="AA19" s="146">
        <f t="shared" si="5"/>
        <v>3.6226851851850761E-3</v>
      </c>
      <c r="AB19" s="180"/>
      <c r="AC19" s="156"/>
    </row>
    <row r="20" spans="1:29">
      <c r="A20" t="str">
        <f t="shared" si="6"/>
        <v/>
      </c>
      <c r="B20">
        <f>Fastest!C20</f>
        <v>45</v>
      </c>
      <c r="C20" t="str">
        <f>Fastest!AB20</f>
        <v/>
      </c>
      <c r="D20" t="str">
        <f>IF(ISNA(Fastest!AC20),"",Fastest!AC20)</f>
        <v/>
      </c>
      <c r="E20" t="str">
        <f t="shared" si="7"/>
        <v/>
      </c>
      <c r="F20" s="95">
        <v>11</v>
      </c>
      <c r="G20" s="174">
        <v>11</v>
      </c>
      <c r="H20" s="175">
        <f t="shared" si="0"/>
        <v>68</v>
      </c>
      <c r="I20" s="176" t="str">
        <f t="shared" si="1"/>
        <v>Mark Dryburgh</v>
      </c>
      <c r="J20" s="177"/>
      <c r="K20" s="177"/>
      <c r="L20" s="177"/>
      <c r="M20" s="177"/>
      <c r="N20" s="177"/>
      <c r="O20" s="177"/>
      <c r="P20" s="176" t="str">
        <f t="shared" si="2"/>
        <v>Ross-Shire RCC</v>
      </c>
      <c r="Q20" s="177"/>
      <c r="R20" s="177"/>
      <c r="S20" s="177"/>
      <c r="T20" s="177"/>
      <c r="U20" s="177"/>
      <c r="V20" s="177"/>
      <c r="W20" s="144"/>
      <c r="X20" s="178" t="str">
        <f t="shared" si="3"/>
        <v>V</v>
      </c>
      <c r="Y20" s="179"/>
      <c r="Z20" s="145" t="str">
        <f t="shared" si="4"/>
        <v>+</v>
      </c>
      <c r="AA20" s="146">
        <f t="shared" si="5"/>
        <v>3.4143518518516894E-3</v>
      </c>
      <c r="AB20" s="180"/>
      <c r="AC20" s="156"/>
    </row>
    <row r="21" spans="1:29">
      <c r="A21">
        <f t="shared" si="6"/>
        <v>11</v>
      </c>
      <c r="B21">
        <f>Fastest!C21</f>
        <v>68</v>
      </c>
      <c r="C21" t="str">
        <f>Fastest!AB21</f>
        <v>+</v>
      </c>
      <c r="D21">
        <f>IF(ISNA(Fastest!AC21),"",Fastest!AC21)</f>
        <v>3.4143518518516894E-3</v>
      </c>
      <c r="E21">
        <f t="shared" si="7"/>
        <v>1.0034143728518516</v>
      </c>
      <c r="F21" s="95">
        <v>12</v>
      </c>
      <c r="G21" s="174">
        <v>12</v>
      </c>
      <c r="H21" s="175">
        <f t="shared" si="0"/>
        <v>31</v>
      </c>
      <c r="I21" s="176" t="str">
        <f t="shared" si="1"/>
        <v>Angus Brumhead</v>
      </c>
      <c r="J21" s="177"/>
      <c r="K21" s="177"/>
      <c r="L21" s="177"/>
      <c r="M21" s="177"/>
      <c r="N21" s="177"/>
      <c r="O21" s="177"/>
      <c r="P21" s="176" t="str">
        <f t="shared" si="2"/>
        <v>Inverness Cycle Club</v>
      </c>
      <c r="Q21" s="177"/>
      <c r="R21" s="177"/>
      <c r="S21" s="177"/>
      <c r="T21" s="177"/>
      <c r="U21" s="177"/>
      <c r="V21" s="177"/>
      <c r="W21" s="144"/>
      <c r="X21" s="178" t="str">
        <f t="shared" si="3"/>
        <v>V</v>
      </c>
      <c r="Y21" s="179"/>
      <c r="Z21" s="145" t="str">
        <f t="shared" si="4"/>
        <v>+</v>
      </c>
      <c r="AA21" s="146">
        <f t="shared" si="5"/>
        <v>3.2870370370369668E-3</v>
      </c>
      <c r="AB21" s="180"/>
      <c r="AC21" s="156"/>
    </row>
    <row r="22" spans="1:29">
      <c r="A22" t="str">
        <f t="shared" si="6"/>
        <v/>
      </c>
      <c r="B22">
        <f>Fastest!C22</f>
        <v>72</v>
      </c>
      <c r="C22" t="str">
        <f>Fastest!AB22</f>
        <v/>
      </c>
      <c r="D22" t="str">
        <f>IF(ISNA(Fastest!AC22),"",Fastest!AC22)</f>
        <v/>
      </c>
      <c r="E22" t="str">
        <f t="shared" si="7"/>
        <v/>
      </c>
      <c r="F22" s="95">
        <v>13</v>
      </c>
      <c r="G22" s="174">
        <v>13</v>
      </c>
      <c r="H22" s="175">
        <f t="shared" si="0"/>
        <v>63</v>
      </c>
      <c r="I22" s="176" t="str">
        <f t="shared" si="1"/>
        <v>Alan McCaffrey</v>
      </c>
      <c r="J22" s="177"/>
      <c r="K22" s="177"/>
      <c r="L22" s="177"/>
      <c r="M22" s="177"/>
      <c r="N22" s="177"/>
      <c r="O22" s="177"/>
      <c r="P22" s="176" t="str">
        <f t="shared" si="2"/>
        <v>Moray Firth Cycling Club</v>
      </c>
      <c r="Q22" s="177"/>
      <c r="R22" s="177"/>
      <c r="S22" s="177"/>
      <c r="T22" s="177"/>
      <c r="U22" s="177"/>
      <c r="V22" s="177"/>
      <c r="W22" s="144"/>
      <c r="X22" s="178" t="str">
        <f t="shared" si="3"/>
        <v>V</v>
      </c>
      <c r="Y22" s="179"/>
      <c r="Z22" s="145" t="str">
        <f t="shared" si="4"/>
        <v>+</v>
      </c>
      <c r="AA22" s="146">
        <f t="shared" si="5"/>
        <v>3.078703703703535E-3</v>
      </c>
      <c r="AB22" s="180"/>
      <c r="AC22" s="156"/>
    </row>
    <row r="23" spans="1:29">
      <c r="A23" t="str">
        <f t="shared" si="6"/>
        <v/>
      </c>
      <c r="B23">
        <f>Fastest!C23</f>
        <v>52</v>
      </c>
      <c r="C23" t="str">
        <f>Fastest!AB23</f>
        <v/>
      </c>
      <c r="D23" t="str">
        <f>IF(ISNA(Fastest!AC23),"",Fastest!AC23)</f>
        <v/>
      </c>
      <c r="E23" t="str">
        <f t="shared" si="7"/>
        <v/>
      </c>
      <c r="F23" s="95">
        <v>14</v>
      </c>
      <c r="G23" s="174">
        <v>14</v>
      </c>
      <c r="H23" s="175">
        <f t="shared" si="0"/>
        <v>17</v>
      </c>
      <c r="I23" s="176" t="str">
        <f t="shared" si="1"/>
        <v>Kenneth McKenzie</v>
      </c>
      <c r="J23" s="177"/>
      <c r="K23" s="177"/>
      <c r="L23" s="177"/>
      <c r="M23" s="177"/>
      <c r="N23" s="177"/>
      <c r="O23" s="177"/>
      <c r="P23" s="176" t="str">
        <f t="shared" si="2"/>
        <v>Ross-Shire RCC</v>
      </c>
      <c r="Q23" s="177"/>
      <c r="R23" s="177"/>
      <c r="S23" s="177"/>
      <c r="T23" s="177"/>
      <c r="U23" s="177"/>
      <c r="V23" s="177"/>
      <c r="W23" s="144"/>
      <c r="X23" s="178" t="str">
        <f t="shared" si="3"/>
        <v>V</v>
      </c>
      <c r="Y23" s="179"/>
      <c r="Z23" s="145" t="str">
        <f t="shared" si="4"/>
        <v>+</v>
      </c>
      <c r="AA23" s="146">
        <f t="shared" si="5"/>
        <v>3.0439814814814357E-3</v>
      </c>
      <c r="AB23" s="180"/>
      <c r="AC23" s="156"/>
    </row>
    <row r="24" spans="1:29">
      <c r="A24">
        <f t="shared" si="6"/>
        <v>14</v>
      </c>
      <c r="B24">
        <f>Fastest!C24</f>
        <v>17</v>
      </c>
      <c r="C24" t="str">
        <f>Fastest!AB24</f>
        <v>+</v>
      </c>
      <c r="D24">
        <f>IF(ISNA(Fastest!AC24),"",Fastest!AC24)</f>
        <v>3.0439814814814357E-3</v>
      </c>
      <c r="E24">
        <f t="shared" si="7"/>
        <v>1.0030440054814813</v>
      </c>
      <c r="F24" s="95">
        <v>15</v>
      </c>
      <c r="G24" s="174">
        <v>15</v>
      </c>
      <c r="H24" s="175">
        <f t="shared" si="0"/>
        <v>26</v>
      </c>
      <c r="I24" s="176" t="str">
        <f t="shared" si="1"/>
        <v>Innis Mitchell</v>
      </c>
      <c r="J24" s="177"/>
      <c r="K24" s="177"/>
      <c r="L24" s="177"/>
      <c r="M24" s="177"/>
      <c r="N24" s="177"/>
      <c r="O24" s="177"/>
      <c r="P24" s="176" t="str">
        <f t="shared" si="2"/>
        <v>Ross-Shire RCC</v>
      </c>
      <c r="Q24" s="177"/>
      <c r="R24" s="177"/>
      <c r="S24" s="177"/>
      <c r="T24" s="177"/>
      <c r="U24" s="177"/>
      <c r="V24" s="177"/>
      <c r="W24" s="144"/>
      <c r="X24" s="178" t="str">
        <f t="shared" si="3"/>
        <v>V</v>
      </c>
      <c r="Y24" s="179"/>
      <c r="Z24" s="145" t="str">
        <f t="shared" si="4"/>
        <v>+</v>
      </c>
      <c r="AA24" s="146">
        <f t="shared" si="5"/>
        <v>2.4305555555554775E-3</v>
      </c>
      <c r="AB24" s="180"/>
      <c r="AC24" s="156"/>
    </row>
    <row r="25" spans="1:29">
      <c r="A25">
        <f t="shared" si="6"/>
        <v>13</v>
      </c>
      <c r="B25">
        <f>Fastest!C25</f>
        <v>63</v>
      </c>
      <c r="C25" t="str">
        <f>Fastest!AB25</f>
        <v>+</v>
      </c>
      <c r="D25">
        <f>IF(ISNA(Fastest!AC25),"",Fastest!AC25)</f>
        <v>3.078703703703535E-3</v>
      </c>
      <c r="E25">
        <f t="shared" si="7"/>
        <v>1.0030787287037035</v>
      </c>
      <c r="F25" s="95">
        <v>16</v>
      </c>
      <c r="G25" s="174">
        <v>16</v>
      </c>
      <c r="H25" s="175">
        <f t="shared" si="0"/>
        <v>8</v>
      </c>
      <c r="I25" s="176" t="str">
        <f t="shared" si="1"/>
        <v>Michael Morris</v>
      </c>
      <c r="J25" s="177"/>
      <c r="K25" s="177"/>
      <c r="L25" s="177"/>
      <c r="M25" s="177"/>
      <c r="N25" s="177"/>
      <c r="O25" s="177"/>
      <c r="P25" s="176" t="str">
        <f t="shared" si="2"/>
        <v>Cairngorm CC</v>
      </c>
      <c r="Q25" s="177"/>
      <c r="R25" s="177"/>
      <c r="S25" s="177"/>
      <c r="T25" s="177"/>
      <c r="U25" s="177"/>
      <c r="V25" s="177"/>
      <c r="W25" s="144"/>
      <c r="X25" s="178" t="str">
        <f t="shared" si="3"/>
        <v>V</v>
      </c>
      <c r="Y25" s="179"/>
      <c r="Z25" s="145" t="str">
        <f t="shared" si="4"/>
        <v>+</v>
      </c>
      <c r="AA25" s="146">
        <f t="shared" si="5"/>
        <v>2.3032407407407411E-3</v>
      </c>
      <c r="AB25" s="180"/>
      <c r="AC25" s="156"/>
    </row>
    <row r="26" spans="1:29">
      <c r="A26">
        <f t="shared" si="6"/>
        <v>5</v>
      </c>
      <c r="B26">
        <f>Fastest!C26</f>
        <v>44</v>
      </c>
      <c r="C26" t="str">
        <f>Fastest!AB26</f>
        <v>+</v>
      </c>
      <c r="D26">
        <f>IF(ISNA(Fastest!AC26),"",Fastest!AC26)</f>
        <v>3.993055555555472E-3</v>
      </c>
      <c r="E26">
        <f t="shared" si="7"/>
        <v>1.0039930815555553</v>
      </c>
      <c r="F26" s="95">
        <v>17</v>
      </c>
      <c r="G26" s="174">
        <v>17</v>
      </c>
      <c r="H26" s="175">
        <f t="shared" si="0"/>
        <v>5</v>
      </c>
      <c r="I26" s="176" t="str">
        <f t="shared" si="1"/>
        <v>Daniel Sutherland</v>
      </c>
      <c r="J26" s="177"/>
      <c r="K26" s="177"/>
      <c r="L26" s="177"/>
      <c r="M26" s="177"/>
      <c r="N26" s="177"/>
      <c r="O26" s="177"/>
      <c r="P26" s="176" t="str">
        <f t="shared" si="2"/>
        <v>Moray Firth Cycling Club</v>
      </c>
      <c r="Q26" s="177"/>
      <c r="R26" s="177"/>
      <c r="S26" s="177"/>
      <c r="T26" s="177"/>
      <c r="U26" s="177"/>
      <c r="V26" s="177"/>
      <c r="W26" s="144"/>
      <c r="X26" s="178" t="str">
        <f t="shared" si="3"/>
        <v>V</v>
      </c>
      <c r="Y26" s="179"/>
      <c r="Z26" s="145" t="str">
        <f t="shared" si="4"/>
        <v>+</v>
      </c>
      <c r="AA26" s="146">
        <f t="shared" si="5"/>
        <v>2.2106481481481491E-3</v>
      </c>
      <c r="AB26" s="180"/>
      <c r="AC26" s="156"/>
    </row>
    <row r="27" spans="1:29">
      <c r="A27">
        <f t="shared" si="6"/>
        <v>10</v>
      </c>
      <c r="B27">
        <f>Fastest!C27</f>
        <v>47</v>
      </c>
      <c r="C27" t="str">
        <f>Fastest!AB27</f>
        <v>+</v>
      </c>
      <c r="D27">
        <f>IF(ISNA(Fastest!AC27),"",Fastest!AC27)</f>
        <v>3.6226851851850761E-3</v>
      </c>
      <c r="E27">
        <f t="shared" si="7"/>
        <v>1.0036227121851851</v>
      </c>
      <c r="F27" s="95">
        <v>18</v>
      </c>
      <c r="G27" s="174">
        <v>18</v>
      </c>
      <c r="H27" s="175">
        <f t="shared" si="0"/>
        <v>12</v>
      </c>
      <c r="I27" s="176" t="str">
        <f t="shared" si="1"/>
        <v>Ruth Jeays</v>
      </c>
      <c r="J27" s="177"/>
      <c r="K27" s="177"/>
      <c r="L27" s="177"/>
      <c r="M27" s="177"/>
      <c r="N27" s="177"/>
      <c r="O27" s="177"/>
      <c r="P27" s="176" t="str">
        <f t="shared" si="2"/>
        <v>Revolution CT</v>
      </c>
      <c r="Q27" s="177"/>
      <c r="R27" s="177"/>
      <c r="S27" s="177"/>
      <c r="T27" s="177"/>
      <c r="U27" s="177"/>
      <c r="V27" s="177"/>
      <c r="W27" s="144"/>
      <c r="X27" s="178" t="str">
        <f t="shared" si="3"/>
        <v>FV</v>
      </c>
      <c r="Y27" s="179"/>
      <c r="Z27" s="145" t="str">
        <f t="shared" si="4"/>
        <v>+</v>
      </c>
      <c r="AA27" s="146">
        <f t="shared" si="5"/>
        <v>2.1180555555555466E-3</v>
      </c>
      <c r="AB27" s="180"/>
      <c r="AC27" s="156"/>
    </row>
    <row r="28" spans="1:29">
      <c r="A28">
        <f t="shared" si="6"/>
        <v>6</v>
      </c>
      <c r="B28">
        <f>Fastest!C28</f>
        <v>27</v>
      </c>
      <c r="C28" t="str">
        <f>Fastest!AB28</f>
        <v>+</v>
      </c>
      <c r="D28">
        <f>IF(ISNA(Fastest!AC28),"",Fastest!AC28)</f>
        <v>3.946759259259195E-3</v>
      </c>
      <c r="E28">
        <f t="shared" si="7"/>
        <v>1.0039467872592593</v>
      </c>
      <c r="F28" s="95">
        <v>19</v>
      </c>
      <c r="G28" s="174">
        <v>19</v>
      </c>
      <c r="H28" s="175">
        <f t="shared" si="0"/>
        <v>42</v>
      </c>
      <c r="I28" s="176" t="str">
        <f t="shared" si="1"/>
        <v>Martin Lugg</v>
      </c>
      <c r="J28" s="177"/>
      <c r="K28" s="177"/>
      <c r="L28" s="177"/>
      <c r="M28" s="177"/>
      <c r="N28" s="177"/>
      <c r="O28" s="177"/>
      <c r="P28" s="176" t="str">
        <f t="shared" si="2"/>
        <v>Revolution CT</v>
      </c>
      <c r="Q28" s="177"/>
      <c r="R28" s="177"/>
      <c r="S28" s="177"/>
      <c r="T28" s="177"/>
      <c r="U28" s="177"/>
      <c r="V28" s="177"/>
      <c r="W28" s="144"/>
      <c r="X28" s="178" t="str">
        <f t="shared" si="3"/>
        <v>V</v>
      </c>
      <c r="Y28" s="179"/>
      <c r="Z28" s="145" t="str">
        <f t="shared" si="4"/>
        <v>+</v>
      </c>
      <c r="AA28" s="146">
        <f t="shared" si="5"/>
        <v>2.0717592592591344E-3</v>
      </c>
      <c r="AB28" s="180"/>
      <c r="AC28" s="156"/>
    </row>
    <row r="29" spans="1:29">
      <c r="A29">
        <f t="shared" si="6"/>
        <v>17</v>
      </c>
      <c r="B29">
        <f>Fastest!C29</f>
        <v>5</v>
      </c>
      <c r="C29" t="str">
        <f>Fastest!AB29</f>
        <v>+</v>
      </c>
      <c r="D29">
        <f>IF(ISNA(Fastest!AC29),"",Fastest!AC29)</f>
        <v>2.2106481481481491E-3</v>
      </c>
      <c r="E29">
        <f t="shared" si="7"/>
        <v>1.002210677148148</v>
      </c>
      <c r="F29" s="95">
        <v>20</v>
      </c>
      <c r="G29" s="174">
        <v>20</v>
      </c>
      <c r="H29" s="175">
        <f t="shared" si="0"/>
        <v>3</v>
      </c>
      <c r="I29" s="176" t="str">
        <f t="shared" si="1"/>
        <v>Alan Horsburgh</v>
      </c>
      <c r="J29" s="177"/>
      <c r="K29" s="177"/>
      <c r="L29" s="177"/>
      <c r="M29" s="177"/>
      <c r="N29" s="177"/>
      <c r="O29" s="177"/>
      <c r="P29" s="176" t="str">
        <f t="shared" si="2"/>
        <v>Inverness Cycle Club</v>
      </c>
      <c r="Q29" s="177"/>
      <c r="R29" s="177"/>
      <c r="S29" s="177"/>
      <c r="T29" s="177"/>
      <c r="U29" s="177"/>
      <c r="V29" s="177"/>
      <c r="W29" s="144"/>
      <c r="X29" s="178" t="str">
        <f t="shared" si="3"/>
        <v>V</v>
      </c>
      <c r="Y29" s="179"/>
      <c r="Z29" s="145" t="str">
        <f t="shared" si="4"/>
        <v>+</v>
      </c>
      <c r="AA29" s="146">
        <f t="shared" si="5"/>
        <v>1.9791666666666811E-3</v>
      </c>
      <c r="AB29" s="180"/>
      <c r="AC29" s="156"/>
    </row>
    <row r="30" spans="1:29">
      <c r="A30" t="str">
        <f t="shared" si="6"/>
        <v/>
      </c>
      <c r="B30">
        <f>Fastest!C30</f>
        <v>62</v>
      </c>
      <c r="C30" t="str">
        <f>Fastest!AB30</f>
        <v/>
      </c>
      <c r="D30" t="str">
        <f>IF(ISNA(Fastest!AC30),"",Fastest!AC30)</f>
        <v/>
      </c>
      <c r="E30" t="str">
        <f t="shared" si="7"/>
        <v/>
      </c>
      <c r="F30" s="95">
        <v>21</v>
      </c>
      <c r="G30" s="174">
        <v>21</v>
      </c>
      <c r="H30" s="175">
        <f t="shared" si="0"/>
        <v>51</v>
      </c>
      <c r="I30" s="176" t="str">
        <f t="shared" si="1"/>
        <v>Paul Parrish</v>
      </c>
      <c r="J30" s="177"/>
      <c r="K30" s="177"/>
      <c r="L30" s="177"/>
      <c r="M30" s="177"/>
      <c r="N30" s="177"/>
      <c r="O30" s="177"/>
      <c r="P30" s="176" t="str">
        <f t="shared" si="2"/>
        <v>Cairngorm CC</v>
      </c>
      <c r="Q30" s="177"/>
      <c r="R30" s="177"/>
      <c r="S30" s="177"/>
      <c r="T30" s="177"/>
      <c r="U30" s="177"/>
      <c r="V30" s="177"/>
      <c r="W30" s="144"/>
      <c r="X30" s="178" t="str">
        <f t="shared" si="3"/>
        <v>V</v>
      </c>
      <c r="Y30" s="179"/>
      <c r="Z30" s="145" t="str">
        <f t="shared" si="4"/>
        <v>+</v>
      </c>
      <c r="AA30" s="146">
        <f t="shared" si="5"/>
        <v>1.7824074074072709E-3</v>
      </c>
      <c r="AB30" s="180"/>
      <c r="AC30" s="156"/>
    </row>
    <row r="31" spans="1:29">
      <c r="A31" t="str">
        <f t="shared" si="6"/>
        <v/>
      </c>
      <c r="B31">
        <f>Fastest!C31</f>
        <v>33</v>
      </c>
      <c r="C31" t="str">
        <f>Fastest!AB31</f>
        <v/>
      </c>
      <c r="D31" t="str">
        <f>IF(ISNA(Fastest!AC31),"",Fastest!AC31)</f>
        <v/>
      </c>
      <c r="E31" t="str">
        <f t="shared" si="7"/>
        <v/>
      </c>
      <c r="F31" s="95">
        <v>22</v>
      </c>
      <c r="G31" s="174">
        <v>22</v>
      </c>
      <c r="H31" s="175">
        <f t="shared" si="0"/>
        <v>18</v>
      </c>
      <c r="I31" s="176" t="str">
        <f t="shared" si="1"/>
        <v>Ian Grant</v>
      </c>
      <c r="J31" s="177"/>
      <c r="K31" s="177"/>
      <c r="L31" s="177"/>
      <c r="M31" s="177"/>
      <c r="N31" s="177"/>
      <c r="O31" s="177"/>
      <c r="P31" s="176" t="str">
        <f t="shared" si="2"/>
        <v>Deeside Thistle CC</v>
      </c>
      <c r="Q31" s="177"/>
      <c r="R31" s="177"/>
      <c r="S31" s="177"/>
      <c r="T31" s="177"/>
      <c r="U31" s="177"/>
      <c r="V31" s="177"/>
      <c r="W31" s="144"/>
      <c r="X31" s="178" t="str">
        <f t="shared" si="3"/>
        <v>V</v>
      </c>
      <c r="Y31" s="179"/>
      <c r="Z31" s="145" t="str">
        <f t="shared" si="4"/>
        <v>+</v>
      </c>
      <c r="AA31" s="146">
        <f t="shared" si="5"/>
        <v>1.6782407407406746E-3</v>
      </c>
      <c r="AB31" s="180"/>
      <c r="AC31" s="156"/>
    </row>
    <row r="32" spans="1:29">
      <c r="A32" t="str">
        <f t="shared" si="6"/>
        <v/>
      </c>
      <c r="B32">
        <f>Fastest!C32</f>
        <v>23</v>
      </c>
      <c r="C32" t="str">
        <f>Fastest!AB32</f>
        <v/>
      </c>
      <c r="D32" t="str">
        <f>IF(ISNA(Fastest!AC32),"",Fastest!AC32)</f>
        <v/>
      </c>
      <c r="E32" t="str">
        <f t="shared" si="7"/>
        <v/>
      </c>
      <c r="F32" s="95">
        <v>23</v>
      </c>
      <c r="G32" s="174">
        <v>23</v>
      </c>
      <c r="H32" s="175">
        <f t="shared" si="0"/>
        <v>14</v>
      </c>
      <c r="I32" s="176" t="str">
        <f t="shared" si="1"/>
        <v>Michael Mcinnes</v>
      </c>
      <c r="J32" s="177"/>
      <c r="K32" s="177"/>
      <c r="L32" s="177"/>
      <c r="M32" s="177"/>
      <c r="N32" s="177"/>
      <c r="O32" s="177"/>
      <c r="P32" s="176" t="str">
        <f t="shared" si="2"/>
        <v>Moray Firth Cycling Club</v>
      </c>
      <c r="Q32" s="177"/>
      <c r="R32" s="177"/>
      <c r="S32" s="177"/>
      <c r="T32" s="177"/>
      <c r="U32" s="177"/>
      <c r="V32" s="177"/>
      <c r="W32" s="144"/>
      <c r="X32" s="178" t="str">
        <f t="shared" si="3"/>
        <v>V</v>
      </c>
      <c r="Y32" s="179"/>
      <c r="Z32" s="145" t="str">
        <f t="shared" si="4"/>
        <v>+</v>
      </c>
      <c r="AA32" s="146">
        <f t="shared" si="5"/>
        <v>1.5740740740740576E-3</v>
      </c>
      <c r="AB32" s="180"/>
      <c r="AC32" s="156"/>
    </row>
    <row r="33" spans="1:29">
      <c r="A33">
        <f t="shared" si="6"/>
        <v>4</v>
      </c>
      <c r="B33">
        <f>Fastest!C33</f>
        <v>38</v>
      </c>
      <c r="C33" t="str">
        <f>Fastest!AB33</f>
        <v>+</v>
      </c>
      <c r="D33">
        <f>IF(ISNA(Fastest!AC33),"",Fastest!AC33)</f>
        <v>4.0046296296295213E-3</v>
      </c>
      <c r="E33">
        <f t="shared" si="7"/>
        <v>1.0040046626296295</v>
      </c>
      <c r="F33" s="95">
        <v>24</v>
      </c>
      <c r="G33" s="174">
        <v>24</v>
      </c>
      <c r="H33" s="175">
        <f t="shared" si="0"/>
        <v>36</v>
      </c>
      <c r="I33" s="176" t="str">
        <f t="shared" si="1"/>
        <v>Malcolm Cleghorn</v>
      </c>
      <c r="J33" s="177"/>
      <c r="K33" s="177"/>
      <c r="L33" s="177"/>
      <c r="M33" s="177"/>
      <c r="N33" s="177"/>
      <c r="O33" s="177"/>
      <c r="P33" s="176" t="str">
        <f t="shared" si="2"/>
        <v>Ross-Shire RCC</v>
      </c>
      <c r="Q33" s="177"/>
      <c r="R33" s="177"/>
      <c r="S33" s="177"/>
      <c r="T33" s="177"/>
      <c r="U33" s="177"/>
      <c r="V33" s="177"/>
      <c r="W33" s="144"/>
      <c r="X33" s="178" t="str">
        <f t="shared" si="3"/>
        <v>V</v>
      </c>
      <c r="Y33" s="179"/>
      <c r="Z33" s="145" t="str">
        <f t="shared" si="4"/>
        <v>+</v>
      </c>
      <c r="AA33" s="146">
        <f t="shared" si="5"/>
        <v>1.0879629629628601E-3</v>
      </c>
      <c r="AB33" s="180"/>
      <c r="AC33" s="156"/>
    </row>
    <row r="34" spans="1:29">
      <c r="A34" t="str">
        <f t="shared" si="6"/>
        <v/>
      </c>
      <c r="B34">
        <f>Fastest!C34</f>
        <v>7</v>
      </c>
      <c r="C34" t="str">
        <f>Fastest!AB34</f>
        <v/>
      </c>
      <c r="D34" t="str">
        <f>IF(ISNA(Fastest!AC34),"",Fastest!AC34)</f>
        <v/>
      </c>
      <c r="E34" t="str">
        <f t="shared" si="7"/>
        <v/>
      </c>
      <c r="F34" s="95">
        <v>25</v>
      </c>
      <c r="G34" s="174">
        <v>25</v>
      </c>
      <c r="H34" s="175">
        <f t="shared" si="0"/>
        <v>2</v>
      </c>
      <c r="I34" s="176" t="str">
        <f t="shared" si="1"/>
        <v>Stan MacKenzie</v>
      </c>
      <c r="J34" s="177"/>
      <c r="K34" s="177"/>
      <c r="L34" s="177"/>
      <c r="M34" s="177"/>
      <c r="N34" s="177"/>
      <c r="O34" s="177"/>
      <c r="P34" s="176" t="str">
        <f t="shared" si="2"/>
        <v>Ross-Shire RCC</v>
      </c>
      <c r="Q34" s="177"/>
      <c r="R34" s="177"/>
      <c r="S34" s="177"/>
      <c r="T34" s="177"/>
      <c r="U34" s="177"/>
      <c r="V34" s="177"/>
      <c r="W34" s="144"/>
      <c r="X34" s="178" t="str">
        <f t="shared" si="3"/>
        <v>V</v>
      </c>
      <c r="Y34" s="179"/>
      <c r="Z34" s="145" t="str">
        <f t="shared" si="4"/>
        <v>+</v>
      </c>
      <c r="AA34" s="146">
        <f t="shared" si="5"/>
        <v>1.0300925925926033E-3</v>
      </c>
      <c r="AB34" s="180"/>
      <c r="AC34" s="156"/>
    </row>
    <row r="35" spans="1:29">
      <c r="A35" t="str">
        <f t="shared" si="6"/>
        <v/>
      </c>
      <c r="B35">
        <f>Fastest!C35</f>
        <v>20</v>
      </c>
      <c r="C35" t="str">
        <f>Fastest!AB35</f>
        <v/>
      </c>
      <c r="D35" t="str">
        <f>IF(ISNA(Fastest!AC35),"",Fastest!AC35)</f>
        <v/>
      </c>
      <c r="E35" t="str">
        <f t="shared" si="7"/>
        <v/>
      </c>
      <c r="F35" s="95">
        <v>26</v>
      </c>
      <c r="G35" s="174">
        <v>26</v>
      </c>
      <c r="H35" s="175">
        <f t="shared" si="0"/>
        <v>6</v>
      </c>
      <c r="I35" s="176" t="str">
        <f t="shared" si="1"/>
        <v>julie cleghorn</v>
      </c>
      <c r="J35" s="177"/>
      <c r="K35" s="177"/>
      <c r="L35" s="177"/>
      <c r="M35" s="177"/>
      <c r="N35" s="177"/>
      <c r="O35" s="177"/>
      <c r="P35" s="176" t="str">
        <f t="shared" si="2"/>
        <v>Ross-Shire RCC</v>
      </c>
      <c r="Q35" s="177"/>
      <c r="R35" s="177"/>
      <c r="S35" s="177"/>
      <c r="T35" s="177"/>
      <c r="U35" s="177"/>
      <c r="V35" s="177"/>
      <c r="W35" s="144"/>
      <c r="X35" s="178" t="str">
        <f t="shared" si="3"/>
        <v>FV</v>
      </c>
      <c r="Y35" s="179"/>
      <c r="Z35" s="145" t="str">
        <f t="shared" si="4"/>
        <v>+</v>
      </c>
      <c r="AA35" s="146">
        <f t="shared" si="5"/>
        <v>7.2916666666668004E-4</v>
      </c>
      <c r="AB35" s="180"/>
      <c r="AC35" s="156"/>
    </row>
    <row r="36" spans="1:29">
      <c r="A36" t="str">
        <f t="shared" si="6"/>
        <v/>
      </c>
      <c r="B36">
        <f>Fastest!C36</f>
        <v>64</v>
      </c>
      <c r="C36" t="str">
        <f>Fastest!AB36</f>
        <v/>
      </c>
      <c r="D36" t="str">
        <f>IF(ISNA(Fastest!AC36),"",Fastest!AC36)</f>
        <v/>
      </c>
      <c r="E36" t="str">
        <f t="shared" si="7"/>
        <v/>
      </c>
      <c r="F36" s="95">
        <v>27</v>
      </c>
      <c r="G36" s="174">
        <v>27</v>
      </c>
      <c r="H36" s="175">
        <f t="shared" si="0"/>
        <v>19</v>
      </c>
      <c r="I36" s="176" t="str">
        <f t="shared" si="1"/>
        <v>Zoe Newsam</v>
      </c>
      <c r="J36" s="177"/>
      <c r="K36" s="177"/>
      <c r="L36" s="177"/>
      <c r="M36" s="177"/>
      <c r="N36" s="177"/>
      <c r="O36" s="177"/>
      <c r="P36" s="176" t="str">
        <f t="shared" si="2"/>
        <v>Scottish Veterans T.T.A.</v>
      </c>
      <c r="Q36" s="177"/>
      <c r="R36" s="177"/>
      <c r="S36" s="177"/>
      <c r="T36" s="177"/>
      <c r="U36" s="177"/>
      <c r="V36" s="177"/>
      <c r="W36" s="144"/>
      <c r="X36" s="178" t="str">
        <f t="shared" si="3"/>
        <v>FV</v>
      </c>
      <c r="Y36" s="179"/>
      <c r="Z36" s="145" t="str">
        <f t="shared" si="4"/>
        <v>+</v>
      </c>
      <c r="AA36" s="146">
        <f t="shared" si="5"/>
        <v>7.175925925925232E-4</v>
      </c>
      <c r="AB36" s="180"/>
      <c r="AC36" s="156"/>
    </row>
    <row r="37" spans="1:29">
      <c r="A37" t="str">
        <f t="shared" si="6"/>
        <v/>
      </c>
      <c r="B37">
        <f>Fastest!C37</f>
        <v>67</v>
      </c>
      <c r="C37" t="str">
        <f>Fastest!AB37</f>
        <v/>
      </c>
      <c r="D37" t="str">
        <f>IF(ISNA(Fastest!AC37),"",Fastest!AC37)</f>
        <v/>
      </c>
      <c r="E37" t="str">
        <f t="shared" si="7"/>
        <v/>
      </c>
      <c r="F37" s="95">
        <v>28</v>
      </c>
      <c r="G37" s="174">
        <v>28</v>
      </c>
      <c r="H37" s="175">
        <f t="shared" si="0"/>
        <v>29</v>
      </c>
      <c r="I37" s="176" t="str">
        <f t="shared" si="1"/>
        <v>Christine Brumhead</v>
      </c>
      <c r="J37" s="177"/>
      <c r="K37" s="177"/>
      <c r="L37" s="177"/>
      <c r="M37" s="177"/>
      <c r="N37" s="177"/>
      <c r="O37" s="177"/>
      <c r="P37" s="176" t="str">
        <f t="shared" si="2"/>
        <v>Inverness Cycle Club</v>
      </c>
      <c r="Q37" s="177"/>
      <c r="R37" s="177"/>
      <c r="S37" s="177"/>
      <c r="T37" s="177"/>
      <c r="U37" s="177"/>
      <c r="V37" s="177"/>
      <c r="W37" s="144"/>
      <c r="X37" s="178" t="str">
        <f t="shared" si="3"/>
        <v>FV</v>
      </c>
      <c r="Y37" s="179"/>
      <c r="Z37" s="145" t="str">
        <f t="shared" si="4"/>
        <v>+</v>
      </c>
      <c r="AA37" s="146">
        <f t="shared" si="5"/>
        <v>2.4305555556037098E-4</v>
      </c>
      <c r="AB37" s="180"/>
      <c r="AC37" s="156"/>
    </row>
    <row r="38" spans="1:29">
      <c r="A38">
        <f t="shared" si="6"/>
        <v>20</v>
      </c>
      <c r="B38">
        <f>Fastest!C38</f>
        <v>3</v>
      </c>
      <c r="C38" t="str">
        <f>Fastest!AB38</f>
        <v>+</v>
      </c>
      <c r="D38">
        <f>IF(ISNA(Fastest!AC38),"",Fastest!AC38)</f>
        <v>1.9791666666666811E-3</v>
      </c>
      <c r="E38">
        <f t="shared" si="7"/>
        <v>1.0019792046666667</v>
      </c>
      <c r="F38" s="95">
        <v>29</v>
      </c>
      <c r="G38" s="174">
        <v>29</v>
      </c>
      <c r="H38" s="175">
        <f t="shared" si="0"/>
        <v>28</v>
      </c>
      <c r="I38" s="176" t="str">
        <f t="shared" si="1"/>
        <v>Phil Cameron</v>
      </c>
      <c r="J38" s="177"/>
      <c r="K38" s="177"/>
      <c r="L38" s="177"/>
      <c r="M38" s="177"/>
      <c r="N38" s="177"/>
      <c r="O38" s="177"/>
      <c r="P38" s="176" t="str">
        <f t="shared" si="2"/>
        <v>Elgin CC</v>
      </c>
      <c r="Q38" s="177"/>
      <c r="R38" s="177"/>
      <c r="S38" s="177"/>
      <c r="T38" s="177"/>
      <c r="U38" s="177"/>
      <c r="V38" s="177"/>
      <c r="W38" s="144"/>
      <c r="X38" s="178" t="str">
        <f t="shared" si="3"/>
        <v>V</v>
      </c>
      <c r="Y38" s="179"/>
      <c r="Z38" s="145" t="str">
        <f t="shared" si="4"/>
        <v>+</v>
      </c>
      <c r="AA38" s="146">
        <f t="shared" si="5"/>
        <v>1.967592592640767E-4</v>
      </c>
      <c r="AB38" s="180"/>
      <c r="AC38" s="156"/>
    </row>
    <row r="39" spans="1:29">
      <c r="A39" t="str">
        <f t="shared" si="6"/>
        <v/>
      </c>
      <c r="B39">
        <f>Fastest!C39</f>
        <v>13</v>
      </c>
      <c r="C39" t="str">
        <f>Fastest!AB39</f>
        <v/>
      </c>
      <c r="D39" t="str">
        <f>IF(ISNA(Fastest!AC39),"",Fastest!AC39)</f>
        <v/>
      </c>
      <c r="E39" t="str">
        <f t="shared" si="7"/>
        <v/>
      </c>
      <c r="F39" s="95">
        <v>30</v>
      </c>
      <c r="G39" s="174">
        <v>30</v>
      </c>
      <c r="H39" s="175">
        <f t="shared" si="0"/>
        <v>49</v>
      </c>
      <c r="I39" s="176" t="str">
        <f t="shared" si="1"/>
        <v>Hector Nicolson</v>
      </c>
      <c r="J39" s="177"/>
      <c r="K39" s="177"/>
      <c r="L39" s="177"/>
      <c r="M39" s="177"/>
      <c r="N39" s="177"/>
      <c r="O39" s="177"/>
      <c r="P39" s="176" t="str">
        <f t="shared" si="2"/>
        <v>Moray Firth Cycling Club</v>
      </c>
      <c r="Q39" s="177"/>
      <c r="R39" s="177"/>
      <c r="S39" s="177"/>
      <c r="T39" s="177"/>
      <c r="U39" s="177"/>
      <c r="V39" s="177"/>
      <c r="W39" s="144"/>
      <c r="X39" s="178" t="str">
        <f t="shared" si="3"/>
        <v>V</v>
      </c>
      <c r="Y39" s="179"/>
      <c r="Z39" s="145" t="str">
        <f t="shared" si="4"/>
        <v>-</v>
      </c>
      <c r="AA39" s="146">
        <f t="shared" si="5"/>
        <v>1.7361111111124927E-4</v>
      </c>
      <c r="AB39" s="180"/>
      <c r="AC39" s="156"/>
    </row>
    <row r="40" spans="1:29">
      <c r="A40">
        <f t="shared" si="6"/>
        <v>23</v>
      </c>
      <c r="B40">
        <f>Fastest!C40</f>
        <v>14</v>
      </c>
      <c r="C40" t="str">
        <f>Fastest!AB40</f>
        <v>+</v>
      </c>
      <c r="D40">
        <f>IF(ISNA(Fastest!AC40),"",Fastest!AC40)</f>
        <v>1.5740740740740576E-3</v>
      </c>
      <c r="E40">
        <f t="shared" si="7"/>
        <v>1.0015741140740739</v>
      </c>
      <c r="F40" s="95">
        <v>31</v>
      </c>
      <c r="G40" s="174">
        <v>31</v>
      </c>
      <c r="H40" s="175">
        <f t="shared" si="0"/>
        <v>9</v>
      </c>
      <c r="I40" s="176" t="str">
        <f t="shared" si="1"/>
        <v>Fiona Barrett</v>
      </c>
      <c r="J40" s="177"/>
      <c r="K40" s="177"/>
      <c r="L40" s="177"/>
      <c r="M40" s="177"/>
      <c r="N40" s="177"/>
      <c r="O40" s="177"/>
      <c r="P40" s="176" t="str">
        <f t="shared" si="2"/>
        <v>Inverness Cycle Club</v>
      </c>
      <c r="Q40" s="177"/>
      <c r="R40" s="177"/>
      <c r="S40" s="177"/>
      <c r="T40" s="177"/>
      <c r="U40" s="177"/>
      <c r="V40" s="177"/>
      <c r="W40" s="144"/>
      <c r="X40" s="178" t="str">
        <f t="shared" si="3"/>
        <v>FV</v>
      </c>
      <c r="Y40" s="179"/>
      <c r="Z40" s="145" t="str">
        <f t="shared" si="4"/>
        <v>-</v>
      </c>
      <c r="AA40" s="146">
        <f t="shared" si="5"/>
        <v>1.1111111111111148E-3</v>
      </c>
      <c r="AB40" s="180"/>
      <c r="AC40" s="156"/>
    </row>
    <row r="41" spans="1:29">
      <c r="A41" t="str">
        <f t="shared" si="6"/>
        <v/>
      </c>
      <c r="B41">
        <f>Fastest!C41</f>
        <v>32</v>
      </c>
      <c r="C41" t="str">
        <f>Fastest!AB41</f>
        <v/>
      </c>
      <c r="D41" t="str">
        <f>IF(ISNA(Fastest!AC41),"",Fastest!AC41)</f>
        <v/>
      </c>
      <c r="E41" t="str">
        <f t="shared" si="7"/>
        <v/>
      </c>
      <c r="F41" s="95">
        <v>32</v>
      </c>
      <c r="G41" s="174">
        <v>32</v>
      </c>
      <c r="H41" s="175">
        <f t="shared" si="0"/>
        <v>46</v>
      </c>
      <c r="I41" s="176" t="str">
        <f t="shared" si="1"/>
        <v>Paul Mason</v>
      </c>
      <c r="J41" s="177"/>
      <c r="K41" s="177"/>
      <c r="L41" s="177"/>
      <c r="M41" s="177"/>
      <c r="N41" s="177"/>
      <c r="O41" s="177"/>
      <c r="P41" s="176" t="str">
        <f t="shared" si="2"/>
        <v>Royal Navy Cycling</v>
      </c>
      <c r="Q41" s="177"/>
      <c r="R41" s="177"/>
      <c r="S41" s="177"/>
      <c r="T41" s="177"/>
      <c r="U41" s="177"/>
      <c r="V41" s="177"/>
      <c r="W41" s="144"/>
      <c r="X41" s="178" t="str">
        <f t="shared" si="3"/>
        <v>V</v>
      </c>
      <c r="Y41" s="179"/>
      <c r="Z41" s="145" t="str">
        <f t="shared" si="4"/>
        <v>-</v>
      </c>
      <c r="AA41" s="146">
        <f t="shared" si="5"/>
        <v>1.6898148148149147E-3</v>
      </c>
      <c r="AB41" s="180"/>
      <c r="AC41" s="156"/>
    </row>
    <row r="42" spans="1:29">
      <c r="A42">
        <f t="shared" si="6"/>
        <v>16</v>
      </c>
      <c r="B42">
        <f>Fastest!C42</f>
        <v>8</v>
      </c>
      <c r="C42" t="str">
        <f>Fastest!AB42</f>
        <v>+</v>
      </c>
      <c r="D42">
        <f>IF(ISNA(Fastest!AC42),"",Fastest!AC42)</f>
        <v>2.3032407407407411E-3</v>
      </c>
      <c r="E42">
        <f t="shared" si="7"/>
        <v>1.0023032827407408</v>
      </c>
      <c r="F42" s="95">
        <v>33</v>
      </c>
      <c r="G42" s="174">
        <v>33</v>
      </c>
      <c r="H42" s="175" t="str">
        <f t="shared" ref="H42:H73" si="8">IF(IF(ISNA(VLOOKUP($F42,Vet,2,FALSE)),"",VLOOKUP($F42,Vet,2,FALSE))=0,"",IF(ISNA(VLOOKUP($F42,Vet,2,FALSE)),"",VLOOKUP($F42,Vet,2,FALSE)))</f>
        <v/>
      </c>
      <c r="I42" s="176" t="str">
        <f t="shared" ref="I42:I73" si="9">IF(IF(ISNA(VLOOKUP($H42,Field,2,FALSE)),"",VLOOKUP($H42,Field,2,FALSE))=0,"",IF(ISNA(VLOOKUP($H42,Field,2,FALSE)),"",VLOOKUP($H42,Field,2,FALSE)))</f>
        <v/>
      </c>
      <c r="J42" s="177"/>
      <c r="K42" s="177"/>
      <c r="L42" s="177"/>
      <c r="M42" s="177"/>
      <c r="N42" s="177"/>
      <c r="O42" s="177"/>
      <c r="P42" s="176" t="str">
        <f t="shared" ref="P42:P73" si="10">IF(IF(ISNA(VLOOKUP($H42,Field,3,FALSE)),"",VLOOKUP($H42,Field,3,FALSE))=0,"",IF(ISNA(VLOOKUP($H42,Field,3,FALSE)),"",VLOOKUP($H42,Field,3,FALSE)))</f>
        <v/>
      </c>
      <c r="Q42" s="177"/>
      <c r="R42" s="177"/>
      <c r="S42" s="177"/>
      <c r="T42" s="177"/>
      <c r="U42" s="177"/>
      <c r="V42" s="177"/>
      <c r="W42" s="144"/>
      <c r="X42" s="178" t="str">
        <f t="shared" ref="X42:X73" si="11">IF(IF(ISNA(VLOOKUP($H42,Field,5,FALSE)),"",VLOOKUP($H42,Field,5,FALSE))=0,"",IF(ISNA(VLOOKUP($H42,Field,5,FALSE)),"",VLOOKUP($H42,Field,5,FALSE)))</f>
        <v/>
      </c>
      <c r="Y42" s="179"/>
      <c r="Z42" s="145" t="str">
        <f t="shared" ref="Z42:Z73" si="12">IF(IF(ISNA(VLOOKUP($H42,Field,14,FALSE)),"",VLOOKUP($H42,Field,14,FALSE))=0,"",IF(ISNA(VLOOKUP($H42,Field,14,FALSE)),"",VLOOKUP($H42,Field,14,FALSE)))</f>
        <v/>
      </c>
      <c r="AA42" s="146" t="str">
        <f t="shared" ref="AA42:AA73" si="13">IF(IF(ISNA(VLOOKUP($H42,Field,15,FALSE)),"",VLOOKUP($H42,Field,15,FALSE))=0,"",IF(ISNA(VLOOKUP($H42,Field,15,FALSE)),"",VLOOKUP($H42,Field,15,FALSE)))</f>
        <v/>
      </c>
      <c r="AB42" s="180"/>
      <c r="AC42" s="156"/>
    </row>
    <row r="43" spans="1:29">
      <c r="A43" t="str">
        <f t="shared" si="6"/>
        <v/>
      </c>
      <c r="B43">
        <f>Fastest!C43</f>
        <v>43</v>
      </c>
      <c r="C43" t="str">
        <f>Fastest!AB43</f>
        <v/>
      </c>
      <c r="D43" t="str">
        <f>IF(ISNA(Fastest!AC43),"",Fastest!AC43)</f>
        <v/>
      </c>
      <c r="E43" t="str">
        <f t="shared" si="7"/>
        <v/>
      </c>
      <c r="F43" s="95">
        <v>34</v>
      </c>
      <c r="G43" s="174">
        <v>34</v>
      </c>
      <c r="H43" s="175" t="str">
        <f t="shared" si="8"/>
        <v/>
      </c>
      <c r="I43" s="176" t="str">
        <f t="shared" si="9"/>
        <v/>
      </c>
      <c r="J43" s="177"/>
      <c r="K43" s="177"/>
      <c r="L43" s="177"/>
      <c r="M43" s="177"/>
      <c r="N43" s="177"/>
      <c r="O43" s="177"/>
      <c r="P43" s="176" t="str">
        <f t="shared" si="10"/>
        <v/>
      </c>
      <c r="Q43" s="177"/>
      <c r="R43" s="177"/>
      <c r="S43" s="177"/>
      <c r="T43" s="177"/>
      <c r="U43" s="177"/>
      <c r="V43" s="177"/>
      <c r="W43" s="144"/>
      <c r="X43" s="178" t="str">
        <f t="shared" si="11"/>
        <v/>
      </c>
      <c r="Y43" s="179"/>
      <c r="Z43" s="145" t="str">
        <f t="shared" si="12"/>
        <v/>
      </c>
      <c r="AA43" s="146" t="str">
        <f t="shared" si="13"/>
        <v/>
      </c>
      <c r="AB43" s="180"/>
      <c r="AC43" s="156"/>
    </row>
    <row r="44" spans="1:29">
      <c r="A44" t="str">
        <f t="shared" si="6"/>
        <v/>
      </c>
      <c r="B44">
        <f>Fastest!C44</f>
        <v>54</v>
      </c>
      <c r="C44" t="str">
        <f>Fastest!AB44</f>
        <v/>
      </c>
      <c r="D44" t="str">
        <f>IF(ISNA(Fastest!AC44),"",Fastest!AC44)</f>
        <v/>
      </c>
      <c r="E44" t="str">
        <f t="shared" si="7"/>
        <v/>
      </c>
      <c r="F44" s="95">
        <v>35</v>
      </c>
      <c r="G44" s="174">
        <v>35</v>
      </c>
      <c r="H44" s="175" t="str">
        <f t="shared" si="8"/>
        <v/>
      </c>
      <c r="I44" s="176" t="str">
        <f t="shared" si="9"/>
        <v/>
      </c>
      <c r="J44" s="177"/>
      <c r="K44" s="177"/>
      <c r="L44" s="177"/>
      <c r="M44" s="177"/>
      <c r="N44" s="177"/>
      <c r="O44" s="177"/>
      <c r="P44" s="176" t="str">
        <f t="shared" si="10"/>
        <v/>
      </c>
      <c r="Q44" s="177"/>
      <c r="R44" s="177"/>
      <c r="S44" s="177"/>
      <c r="T44" s="177"/>
      <c r="U44" s="177"/>
      <c r="V44" s="177"/>
      <c r="W44" s="144"/>
      <c r="X44" s="178" t="str">
        <f t="shared" si="11"/>
        <v/>
      </c>
      <c r="Y44" s="179"/>
      <c r="Z44" s="145" t="str">
        <f t="shared" si="12"/>
        <v/>
      </c>
      <c r="AA44" s="146" t="str">
        <f t="shared" si="13"/>
        <v/>
      </c>
      <c r="AB44" s="180"/>
      <c r="AC44" s="156"/>
    </row>
    <row r="45" spans="1:29">
      <c r="A45" t="str">
        <f t="shared" si="6"/>
        <v/>
      </c>
      <c r="B45">
        <f>Fastest!C45</f>
        <v>34</v>
      </c>
      <c r="C45" t="str">
        <f>Fastest!AB45</f>
        <v/>
      </c>
      <c r="D45" t="str">
        <f>IF(ISNA(Fastest!AC45),"",Fastest!AC45)</f>
        <v/>
      </c>
      <c r="E45" t="str">
        <f t="shared" si="7"/>
        <v/>
      </c>
      <c r="F45" s="95">
        <v>36</v>
      </c>
      <c r="G45" s="174">
        <v>36</v>
      </c>
      <c r="H45" s="175" t="str">
        <f t="shared" si="8"/>
        <v/>
      </c>
      <c r="I45" s="176" t="str">
        <f t="shared" si="9"/>
        <v/>
      </c>
      <c r="J45" s="177"/>
      <c r="K45" s="177"/>
      <c r="L45" s="177"/>
      <c r="M45" s="177"/>
      <c r="N45" s="177"/>
      <c r="O45" s="177"/>
      <c r="P45" s="176" t="str">
        <f t="shared" si="10"/>
        <v/>
      </c>
      <c r="Q45" s="177"/>
      <c r="R45" s="177"/>
      <c r="S45" s="177"/>
      <c r="T45" s="177"/>
      <c r="U45" s="177"/>
      <c r="V45" s="177"/>
      <c r="W45" s="144"/>
      <c r="X45" s="178" t="str">
        <f t="shared" si="11"/>
        <v/>
      </c>
      <c r="Y45" s="179"/>
      <c r="Z45" s="145" t="str">
        <f t="shared" si="12"/>
        <v/>
      </c>
      <c r="AA45" s="146" t="str">
        <f t="shared" si="13"/>
        <v/>
      </c>
      <c r="AB45" s="180"/>
      <c r="AC45" s="156"/>
    </row>
    <row r="46" spans="1:29">
      <c r="A46">
        <f t="shared" si="6"/>
        <v>12</v>
      </c>
      <c r="B46">
        <f>Fastest!C46</f>
        <v>31</v>
      </c>
      <c r="C46" t="str">
        <f>Fastest!AB46</f>
        <v>+</v>
      </c>
      <c r="D46">
        <f>IF(ISNA(Fastest!AC46),"",Fastest!AC46)</f>
        <v>3.2870370370369668E-3</v>
      </c>
      <c r="E46">
        <f t="shared" si="7"/>
        <v>1.0032870830370371</v>
      </c>
      <c r="F46" s="95">
        <v>37</v>
      </c>
      <c r="G46" s="174">
        <v>37</v>
      </c>
      <c r="H46" s="175" t="str">
        <f t="shared" si="8"/>
        <v/>
      </c>
      <c r="I46" s="176" t="str">
        <f t="shared" si="9"/>
        <v/>
      </c>
      <c r="J46" s="177"/>
      <c r="K46" s="177"/>
      <c r="L46" s="177"/>
      <c r="M46" s="177"/>
      <c r="N46" s="177"/>
      <c r="O46" s="177"/>
      <c r="P46" s="176" t="str">
        <f t="shared" si="10"/>
        <v/>
      </c>
      <c r="Q46" s="177"/>
      <c r="R46" s="177"/>
      <c r="S46" s="177"/>
      <c r="T46" s="177"/>
      <c r="U46" s="177"/>
      <c r="V46" s="177"/>
      <c r="W46" s="144"/>
      <c r="X46" s="178" t="str">
        <f t="shared" si="11"/>
        <v/>
      </c>
      <c r="Y46" s="179"/>
      <c r="Z46" s="145" t="str">
        <f t="shared" si="12"/>
        <v/>
      </c>
      <c r="AA46" s="146" t="str">
        <f t="shared" si="13"/>
        <v/>
      </c>
      <c r="AB46" s="180"/>
      <c r="AC46" s="156"/>
    </row>
    <row r="47" spans="1:29">
      <c r="A47" t="str">
        <f t="shared" si="6"/>
        <v/>
      </c>
      <c r="B47">
        <f>Fastest!C47</f>
        <v>11</v>
      </c>
      <c r="C47" t="str">
        <f>Fastest!AB47</f>
        <v/>
      </c>
      <c r="D47" t="str">
        <f>IF(ISNA(Fastest!AC47),"",Fastest!AC47)</f>
        <v/>
      </c>
      <c r="E47" t="str">
        <f t="shared" si="7"/>
        <v/>
      </c>
      <c r="F47" s="95">
        <v>38</v>
      </c>
      <c r="G47" s="174">
        <v>38</v>
      </c>
      <c r="H47" s="175" t="str">
        <f t="shared" si="8"/>
        <v/>
      </c>
      <c r="I47" s="176" t="str">
        <f t="shared" si="9"/>
        <v/>
      </c>
      <c r="J47" s="177"/>
      <c r="K47" s="177"/>
      <c r="L47" s="177"/>
      <c r="M47" s="177"/>
      <c r="N47" s="177"/>
      <c r="O47" s="177"/>
      <c r="P47" s="176" t="str">
        <f t="shared" si="10"/>
        <v/>
      </c>
      <c r="Q47" s="177"/>
      <c r="R47" s="177"/>
      <c r="S47" s="177"/>
      <c r="T47" s="177"/>
      <c r="U47" s="177"/>
      <c r="V47" s="177"/>
      <c r="W47" s="144"/>
      <c r="X47" s="178" t="str">
        <f t="shared" si="11"/>
        <v/>
      </c>
      <c r="Y47" s="179"/>
      <c r="Z47" s="145" t="str">
        <f t="shared" si="12"/>
        <v/>
      </c>
      <c r="AA47" s="146" t="str">
        <f t="shared" si="13"/>
        <v/>
      </c>
      <c r="AB47" s="180"/>
      <c r="AC47" s="156"/>
    </row>
    <row r="48" spans="1:29">
      <c r="A48" t="str">
        <f t="shared" si="6"/>
        <v/>
      </c>
      <c r="B48">
        <f>Fastest!C48</f>
        <v>61</v>
      </c>
      <c r="C48" t="str">
        <f>Fastest!AB48</f>
        <v/>
      </c>
      <c r="D48" t="str">
        <f>IF(ISNA(Fastest!AC48),"",Fastest!AC48)</f>
        <v/>
      </c>
      <c r="E48" t="str">
        <f t="shared" si="7"/>
        <v/>
      </c>
      <c r="F48" s="95">
        <v>39</v>
      </c>
      <c r="G48" s="174">
        <v>39</v>
      </c>
      <c r="H48" s="175" t="str">
        <f t="shared" si="8"/>
        <v/>
      </c>
      <c r="I48" s="176" t="str">
        <f t="shared" si="9"/>
        <v/>
      </c>
      <c r="J48" s="177"/>
      <c r="K48" s="177"/>
      <c r="L48" s="177"/>
      <c r="M48" s="177"/>
      <c r="N48" s="177"/>
      <c r="O48" s="177"/>
      <c r="P48" s="176" t="str">
        <f t="shared" si="10"/>
        <v/>
      </c>
      <c r="Q48" s="177"/>
      <c r="R48" s="177"/>
      <c r="S48" s="177"/>
      <c r="T48" s="177"/>
      <c r="U48" s="177"/>
      <c r="V48" s="177"/>
      <c r="W48" s="144"/>
      <c r="X48" s="178" t="str">
        <f t="shared" si="11"/>
        <v/>
      </c>
      <c r="Y48" s="179"/>
      <c r="Z48" s="145" t="str">
        <f t="shared" si="12"/>
        <v/>
      </c>
      <c r="AA48" s="146" t="str">
        <f t="shared" si="13"/>
        <v/>
      </c>
      <c r="AB48" s="180"/>
      <c r="AC48" s="156"/>
    </row>
    <row r="49" spans="1:29">
      <c r="A49">
        <f t="shared" si="6"/>
        <v>21</v>
      </c>
      <c r="B49">
        <f>Fastest!C49</f>
        <v>51</v>
      </c>
      <c r="C49" t="str">
        <f>Fastest!AB49</f>
        <v>+</v>
      </c>
      <c r="D49">
        <f>IF(ISNA(Fastest!AC49),"",Fastest!AC49)</f>
        <v>1.7824074074072709E-3</v>
      </c>
      <c r="E49">
        <f t="shared" si="7"/>
        <v>1.0017824564074074</v>
      </c>
      <c r="F49" s="95">
        <v>40</v>
      </c>
      <c r="G49" s="174">
        <v>40</v>
      </c>
      <c r="H49" s="175" t="str">
        <f t="shared" si="8"/>
        <v/>
      </c>
      <c r="I49" s="176" t="str">
        <f t="shared" si="9"/>
        <v/>
      </c>
      <c r="J49" s="177"/>
      <c r="K49" s="177"/>
      <c r="L49" s="177"/>
      <c r="M49" s="177"/>
      <c r="N49" s="177"/>
      <c r="O49" s="177"/>
      <c r="P49" s="176" t="str">
        <f t="shared" si="10"/>
        <v/>
      </c>
      <c r="Q49" s="177"/>
      <c r="R49" s="177"/>
      <c r="S49" s="177"/>
      <c r="T49" s="177"/>
      <c r="U49" s="177"/>
      <c r="V49" s="177"/>
      <c r="W49" s="144"/>
      <c r="X49" s="178" t="str">
        <f t="shared" si="11"/>
        <v/>
      </c>
      <c r="Y49" s="179"/>
      <c r="Z49" s="145" t="str">
        <f t="shared" si="12"/>
        <v/>
      </c>
      <c r="AA49" s="146" t="str">
        <f t="shared" si="13"/>
        <v/>
      </c>
      <c r="AB49" s="180"/>
      <c r="AC49" s="156"/>
    </row>
    <row r="50" spans="1:29">
      <c r="A50">
        <f t="shared" si="6"/>
        <v>22</v>
      </c>
      <c r="B50">
        <f>Fastest!C50</f>
        <v>18</v>
      </c>
      <c r="C50" t="str">
        <f>Fastest!AB50</f>
        <v>+</v>
      </c>
      <c r="D50">
        <f>IF(ISNA(Fastest!AC50),"",Fastest!AC50)</f>
        <v>1.6782407407406746E-3</v>
      </c>
      <c r="E50">
        <f t="shared" si="7"/>
        <v>1.0016782907407407</v>
      </c>
      <c r="F50" s="95">
        <v>41</v>
      </c>
      <c r="G50" s="174">
        <v>41</v>
      </c>
      <c r="H50" s="175" t="str">
        <f t="shared" si="8"/>
        <v/>
      </c>
      <c r="I50" s="176" t="str">
        <f t="shared" si="9"/>
        <v/>
      </c>
      <c r="J50" s="177"/>
      <c r="K50" s="177"/>
      <c r="L50" s="177"/>
      <c r="M50" s="177"/>
      <c r="N50" s="177"/>
      <c r="O50" s="177"/>
      <c r="P50" s="176" t="str">
        <f t="shared" si="10"/>
        <v/>
      </c>
      <c r="Q50" s="177"/>
      <c r="R50" s="177"/>
      <c r="S50" s="177"/>
      <c r="T50" s="177"/>
      <c r="U50" s="177"/>
      <c r="V50" s="177"/>
      <c r="W50" s="144"/>
      <c r="X50" s="178" t="str">
        <f t="shared" si="11"/>
        <v/>
      </c>
      <c r="Y50" s="179"/>
      <c r="Z50" s="145" t="str">
        <f t="shared" si="12"/>
        <v/>
      </c>
      <c r="AA50" s="146" t="str">
        <f t="shared" si="13"/>
        <v/>
      </c>
      <c r="AB50" s="180"/>
      <c r="AC50" s="156"/>
    </row>
    <row r="51" spans="1:29">
      <c r="A51">
        <f t="shared" si="6"/>
        <v>18</v>
      </c>
      <c r="B51">
        <f>Fastest!C51</f>
        <v>12</v>
      </c>
      <c r="C51" t="str">
        <f>Fastest!AB51</f>
        <v>+</v>
      </c>
      <c r="D51">
        <f>IF(ISNA(Fastest!AC51),"",Fastest!AC51)</f>
        <v>2.1180555555555466E-3</v>
      </c>
      <c r="E51">
        <f t="shared" si="7"/>
        <v>1.0021181065555556</v>
      </c>
      <c r="F51" s="95">
        <v>42</v>
      </c>
      <c r="G51" s="174">
        <v>42</v>
      </c>
      <c r="H51" s="175" t="str">
        <f t="shared" si="8"/>
        <v/>
      </c>
      <c r="I51" s="176" t="str">
        <f t="shared" si="9"/>
        <v/>
      </c>
      <c r="J51" s="177"/>
      <c r="K51" s="177"/>
      <c r="L51" s="177"/>
      <c r="M51" s="177"/>
      <c r="N51" s="177"/>
      <c r="O51" s="177"/>
      <c r="P51" s="176" t="str">
        <f t="shared" si="10"/>
        <v/>
      </c>
      <c r="Q51" s="177"/>
      <c r="R51" s="177"/>
      <c r="S51" s="177"/>
      <c r="T51" s="177"/>
      <c r="U51" s="177"/>
      <c r="V51" s="177"/>
      <c r="W51" s="144"/>
      <c r="X51" s="178" t="str">
        <f t="shared" si="11"/>
        <v/>
      </c>
      <c r="Y51" s="179"/>
      <c r="Z51" s="145" t="str">
        <f t="shared" si="12"/>
        <v/>
      </c>
      <c r="AA51" s="146" t="str">
        <f t="shared" si="13"/>
        <v/>
      </c>
      <c r="AB51" s="180"/>
      <c r="AC51" s="156"/>
    </row>
    <row r="52" spans="1:29">
      <c r="A52">
        <f t="shared" si="6"/>
        <v>19</v>
      </c>
      <c r="B52">
        <f>Fastest!C52</f>
        <v>42</v>
      </c>
      <c r="C52" t="str">
        <f>Fastest!AB52</f>
        <v>+</v>
      </c>
      <c r="D52">
        <f>IF(ISNA(Fastest!AC52),"",Fastest!AC52)</f>
        <v>2.0717592592591344E-3</v>
      </c>
      <c r="E52">
        <f t="shared" si="7"/>
        <v>1.0020718112592593</v>
      </c>
      <c r="F52" s="95">
        <v>43</v>
      </c>
      <c r="G52" s="174">
        <v>43</v>
      </c>
      <c r="H52" s="175" t="str">
        <f t="shared" si="8"/>
        <v/>
      </c>
      <c r="I52" s="176" t="str">
        <f t="shared" si="9"/>
        <v/>
      </c>
      <c r="J52" s="177"/>
      <c r="K52" s="177"/>
      <c r="L52" s="177"/>
      <c r="M52" s="177"/>
      <c r="N52" s="177"/>
      <c r="O52" s="177"/>
      <c r="P52" s="176" t="str">
        <f t="shared" si="10"/>
        <v/>
      </c>
      <c r="Q52" s="177"/>
      <c r="R52" s="177"/>
      <c r="S52" s="177"/>
      <c r="T52" s="177"/>
      <c r="U52" s="177"/>
      <c r="V52" s="177"/>
      <c r="W52" s="144"/>
      <c r="X52" s="178" t="str">
        <f t="shared" si="11"/>
        <v/>
      </c>
      <c r="Y52" s="179"/>
      <c r="Z52" s="145" t="str">
        <f t="shared" si="12"/>
        <v/>
      </c>
      <c r="AA52" s="146" t="str">
        <f t="shared" si="13"/>
        <v/>
      </c>
      <c r="AB52" s="180"/>
      <c r="AC52" s="156"/>
    </row>
    <row r="53" spans="1:29">
      <c r="A53" t="str">
        <f t="shared" si="6"/>
        <v/>
      </c>
      <c r="B53">
        <f>Fastest!C53</f>
        <v>21</v>
      </c>
      <c r="C53" t="str">
        <f>Fastest!AB53</f>
        <v/>
      </c>
      <c r="D53" t="str">
        <f>IF(ISNA(Fastest!AC53),"",Fastest!AC53)</f>
        <v/>
      </c>
      <c r="E53" t="str">
        <f t="shared" si="7"/>
        <v/>
      </c>
      <c r="F53" s="95">
        <v>44</v>
      </c>
      <c r="G53" s="174">
        <v>44</v>
      </c>
      <c r="H53" s="175" t="str">
        <f t="shared" si="8"/>
        <v/>
      </c>
      <c r="I53" s="176" t="str">
        <f t="shared" si="9"/>
        <v/>
      </c>
      <c r="J53" s="177"/>
      <c r="K53" s="177"/>
      <c r="L53" s="177"/>
      <c r="M53" s="177"/>
      <c r="N53" s="177"/>
      <c r="O53" s="177"/>
      <c r="P53" s="176" t="str">
        <f t="shared" si="10"/>
        <v/>
      </c>
      <c r="Q53" s="177"/>
      <c r="R53" s="177"/>
      <c r="S53" s="177"/>
      <c r="T53" s="177"/>
      <c r="U53" s="177"/>
      <c r="V53" s="177"/>
      <c r="W53" s="144"/>
      <c r="X53" s="178" t="str">
        <f t="shared" si="11"/>
        <v/>
      </c>
      <c r="Y53" s="179"/>
      <c r="Z53" s="145" t="str">
        <f t="shared" si="12"/>
        <v/>
      </c>
      <c r="AA53" s="146" t="str">
        <f t="shared" si="13"/>
        <v/>
      </c>
      <c r="AB53" s="180"/>
      <c r="AC53" s="156"/>
    </row>
    <row r="54" spans="1:29">
      <c r="A54">
        <f t="shared" si="6"/>
        <v>29</v>
      </c>
      <c r="B54">
        <f>Fastest!C54</f>
        <v>28</v>
      </c>
      <c r="C54" t="str">
        <f>Fastest!AB54</f>
        <v>+</v>
      </c>
      <c r="D54">
        <f>IF(ISNA(Fastest!AC54),"",Fastest!AC54)</f>
        <v>1.967592592640767E-4</v>
      </c>
      <c r="E54">
        <f t="shared" si="7"/>
        <v>1.000196813259264</v>
      </c>
      <c r="F54" s="95">
        <v>45</v>
      </c>
      <c r="G54" s="174">
        <v>45</v>
      </c>
      <c r="H54" s="175" t="str">
        <f t="shared" si="8"/>
        <v/>
      </c>
      <c r="I54" s="176" t="str">
        <f t="shared" si="9"/>
        <v/>
      </c>
      <c r="J54" s="177"/>
      <c r="K54" s="177"/>
      <c r="L54" s="177"/>
      <c r="M54" s="177"/>
      <c r="N54" s="177"/>
      <c r="O54" s="177"/>
      <c r="P54" s="176" t="str">
        <f t="shared" si="10"/>
        <v/>
      </c>
      <c r="Q54" s="177"/>
      <c r="R54" s="177"/>
      <c r="S54" s="177"/>
      <c r="T54" s="177"/>
      <c r="U54" s="177"/>
      <c r="V54" s="177"/>
      <c r="W54" s="144"/>
      <c r="X54" s="178" t="str">
        <f t="shared" si="11"/>
        <v/>
      </c>
      <c r="Y54" s="179"/>
      <c r="Z54" s="145" t="str">
        <f t="shared" si="12"/>
        <v/>
      </c>
      <c r="AA54" s="146" t="str">
        <f t="shared" si="13"/>
        <v/>
      </c>
      <c r="AB54" s="180"/>
      <c r="AC54" s="156"/>
    </row>
    <row r="55" spans="1:29">
      <c r="A55">
        <f t="shared" si="6"/>
        <v>24</v>
      </c>
      <c r="B55">
        <f>Fastest!C55</f>
        <v>36</v>
      </c>
      <c r="C55" t="str">
        <f>Fastest!AB55</f>
        <v>+</v>
      </c>
      <c r="D55">
        <f>IF(ISNA(Fastest!AC55),"",Fastest!AC55)</f>
        <v>1.0879629629628601E-3</v>
      </c>
      <c r="E55">
        <f t="shared" si="7"/>
        <v>1.0010880179629629</v>
      </c>
      <c r="F55" s="95">
        <v>46</v>
      </c>
      <c r="G55" s="174">
        <v>46</v>
      </c>
      <c r="H55" s="175" t="str">
        <f t="shared" si="8"/>
        <v/>
      </c>
      <c r="I55" s="176" t="str">
        <f t="shared" si="9"/>
        <v/>
      </c>
      <c r="J55" s="177"/>
      <c r="K55" s="177"/>
      <c r="L55" s="177"/>
      <c r="M55" s="177"/>
      <c r="N55" s="177"/>
      <c r="O55" s="177"/>
      <c r="P55" s="176" t="str">
        <f t="shared" si="10"/>
        <v/>
      </c>
      <c r="Q55" s="177"/>
      <c r="R55" s="177"/>
      <c r="S55" s="177"/>
      <c r="T55" s="177"/>
      <c r="U55" s="177"/>
      <c r="V55" s="177"/>
      <c r="W55" s="144"/>
      <c r="X55" s="178" t="str">
        <f t="shared" si="11"/>
        <v/>
      </c>
      <c r="Y55" s="179"/>
      <c r="Z55" s="145" t="str">
        <f t="shared" si="12"/>
        <v/>
      </c>
      <c r="AA55" s="146" t="str">
        <f t="shared" si="13"/>
        <v/>
      </c>
      <c r="AB55" s="180"/>
      <c r="AC55" s="156"/>
    </row>
    <row r="56" spans="1:29">
      <c r="A56">
        <f t="shared" si="6"/>
        <v>25</v>
      </c>
      <c r="B56">
        <f>Fastest!C56</f>
        <v>2</v>
      </c>
      <c r="C56" t="str">
        <f>Fastest!AB56</f>
        <v>+</v>
      </c>
      <c r="D56">
        <f>IF(ISNA(Fastest!AC56),"",Fastest!AC56)</f>
        <v>1.0300925925926033E-3</v>
      </c>
      <c r="E56">
        <f t="shared" si="7"/>
        <v>1.0010301485925925</v>
      </c>
      <c r="F56" s="95">
        <v>47</v>
      </c>
      <c r="G56" s="174">
        <v>47</v>
      </c>
      <c r="H56" s="175" t="str">
        <f t="shared" si="8"/>
        <v/>
      </c>
      <c r="I56" s="176" t="str">
        <f t="shared" si="9"/>
        <v/>
      </c>
      <c r="J56" s="177"/>
      <c r="K56" s="177"/>
      <c r="L56" s="177"/>
      <c r="M56" s="177"/>
      <c r="N56" s="177"/>
      <c r="O56" s="177"/>
      <c r="P56" s="176" t="str">
        <f t="shared" si="10"/>
        <v/>
      </c>
      <c r="Q56" s="177"/>
      <c r="R56" s="177"/>
      <c r="S56" s="177"/>
      <c r="T56" s="177"/>
      <c r="U56" s="177"/>
      <c r="V56" s="177"/>
      <c r="W56" s="144"/>
      <c r="X56" s="178" t="str">
        <f t="shared" si="11"/>
        <v/>
      </c>
      <c r="Y56" s="179"/>
      <c r="Z56" s="145" t="str">
        <f t="shared" si="12"/>
        <v/>
      </c>
      <c r="AA56" s="146" t="str">
        <f t="shared" si="13"/>
        <v/>
      </c>
      <c r="AB56" s="180"/>
      <c r="AC56" s="156"/>
    </row>
    <row r="57" spans="1:29">
      <c r="A57">
        <f t="shared" si="6"/>
        <v>15</v>
      </c>
      <c r="B57">
        <f>Fastest!C57</f>
        <v>26</v>
      </c>
      <c r="C57" t="str">
        <f>Fastest!AB57</f>
        <v>+</v>
      </c>
      <c r="D57">
        <f>IF(ISNA(Fastest!AC57),"",Fastest!AC57)</f>
        <v>2.4305555555554775E-3</v>
      </c>
      <c r="E57">
        <f t="shared" si="7"/>
        <v>1.0024306125555555</v>
      </c>
      <c r="F57" s="95">
        <v>48</v>
      </c>
      <c r="G57" s="174">
        <v>48</v>
      </c>
      <c r="H57" s="175" t="str">
        <f t="shared" si="8"/>
        <v/>
      </c>
      <c r="I57" s="176" t="str">
        <f t="shared" si="9"/>
        <v/>
      </c>
      <c r="J57" s="177"/>
      <c r="K57" s="177"/>
      <c r="L57" s="177"/>
      <c r="M57" s="177"/>
      <c r="N57" s="177"/>
      <c r="O57" s="177"/>
      <c r="P57" s="176" t="str">
        <f t="shared" si="10"/>
        <v/>
      </c>
      <c r="Q57" s="177"/>
      <c r="R57" s="177"/>
      <c r="S57" s="177"/>
      <c r="T57" s="177"/>
      <c r="U57" s="177"/>
      <c r="V57" s="177"/>
      <c r="W57" s="144"/>
      <c r="X57" s="178" t="str">
        <f t="shared" si="11"/>
        <v/>
      </c>
      <c r="Y57" s="179"/>
      <c r="Z57" s="145" t="str">
        <f t="shared" si="12"/>
        <v/>
      </c>
      <c r="AA57" s="146" t="str">
        <f t="shared" si="13"/>
        <v/>
      </c>
      <c r="AB57" s="180"/>
      <c r="AC57" s="156"/>
    </row>
    <row r="58" spans="1:29">
      <c r="A58">
        <f t="shared" si="6"/>
        <v>27</v>
      </c>
      <c r="B58">
        <f>Fastest!C58</f>
        <v>19</v>
      </c>
      <c r="C58" t="str">
        <f>Fastest!AB58</f>
        <v>+</v>
      </c>
      <c r="D58">
        <f>IF(ISNA(Fastest!AC58),"",Fastest!AC58)</f>
        <v>7.175925925925232E-4</v>
      </c>
      <c r="E58">
        <f t="shared" si="7"/>
        <v>1.0007176505925925</v>
      </c>
      <c r="F58" s="95">
        <v>49</v>
      </c>
      <c r="G58" s="174">
        <v>49</v>
      </c>
      <c r="H58" s="175" t="str">
        <f t="shared" si="8"/>
        <v/>
      </c>
      <c r="I58" s="176" t="str">
        <f t="shared" si="9"/>
        <v/>
      </c>
      <c r="J58" s="177"/>
      <c r="K58" s="177"/>
      <c r="L58" s="177"/>
      <c r="M58" s="177"/>
      <c r="N58" s="177"/>
      <c r="O58" s="177"/>
      <c r="P58" s="176" t="str">
        <f t="shared" si="10"/>
        <v/>
      </c>
      <c r="Q58" s="177"/>
      <c r="R58" s="177"/>
      <c r="S58" s="177"/>
      <c r="T58" s="177"/>
      <c r="U58" s="177"/>
      <c r="V58" s="177"/>
      <c r="W58" s="144"/>
      <c r="X58" s="178" t="str">
        <f t="shared" si="11"/>
        <v/>
      </c>
      <c r="Y58" s="179"/>
      <c r="Z58" s="145" t="str">
        <f t="shared" si="12"/>
        <v/>
      </c>
      <c r="AA58" s="146" t="str">
        <f t="shared" si="13"/>
        <v/>
      </c>
      <c r="AB58" s="180"/>
      <c r="AC58" s="156"/>
    </row>
    <row r="59" spans="1:29">
      <c r="A59">
        <f t="shared" si="6"/>
        <v>2</v>
      </c>
      <c r="B59">
        <f>Fastest!C59</f>
        <v>56</v>
      </c>
      <c r="C59" t="str">
        <f>Fastest!AB59</f>
        <v>+</v>
      </c>
      <c r="D59">
        <f>IF(ISNA(Fastest!AC59),"",Fastest!AC59)</f>
        <v>4.4791666666665376E-3</v>
      </c>
      <c r="E59">
        <f t="shared" si="7"/>
        <v>1.0044792256666666</v>
      </c>
      <c r="F59" s="95">
        <v>50</v>
      </c>
      <c r="G59" s="174">
        <v>50</v>
      </c>
      <c r="H59" s="175" t="str">
        <f t="shared" si="8"/>
        <v/>
      </c>
      <c r="I59" s="176" t="str">
        <f t="shared" si="9"/>
        <v/>
      </c>
      <c r="J59" s="177"/>
      <c r="K59" s="177"/>
      <c r="L59" s="177"/>
      <c r="M59" s="177"/>
      <c r="N59" s="177"/>
      <c r="O59" s="177"/>
      <c r="P59" s="176" t="str">
        <f t="shared" si="10"/>
        <v/>
      </c>
      <c r="Q59" s="177"/>
      <c r="R59" s="177"/>
      <c r="S59" s="177"/>
      <c r="T59" s="177"/>
      <c r="U59" s="177"/>
      <c r="V59" s="177"/>
      <c r="W59" s="144"/>
      <c r="X59" s="178" t="str">
        <f t="shared" si="11"/>
        <v/>
      </c>
      <c r="Y59" s="179"/>
      <c r="Z59" s="145" t="str">
        <f t="shared" si="12"/>
        <v/>
      </c>
      <c r="AA59" s="146" t="str">
        <f t="shared" si="13"/>
        <v/>
      </c>
      <c r="AB59" s="180"/>
      <c r="AC59" s="156"/>
    </row>
    <row r="60" spans="1:29">
      <c r="A60">
        <f t="shared" si="6"/>
        <v>26</v>
      </c>
      <c r="B60">
        <f>Fastest!C60</f>
        <v>6</v>
      </c>
      <c r="C60" t="str">
        <f>Fastest!AB60</f>
        <v>+</v>
      </c>
      <c r="D60">
        <f>IF(ISNA(Fastest!AC60),"",Fastest!AC60)</f>
        <v>7.2916666666668004E-4</v>
      </c>
      <c r="E60">
        <f t="shared" si="7"/>
        <v>1.0007292266666667</v>
      </c>
      <c r="F60" s="95">
        <v>51</v>
      </c>
      <c r="G60" s="174">
        <v>51</v>
      </c>
      <c r="H60" s="175" t="str">
        <f t="shared" si="8"/>
        <v/>
      </c>
      <c r="I60" s="176" t="str">
        <f t="shared" si="9"/>
        <v/>
      </c>
      <c r="J60" s="177"/>
      <c r="K60" s="177"/>
      <c r="L60" s="177"/>
      <c r="M60" s="177"/>
      <c r="N60" s="177"/>
      <c r="O60" s="177"/>
      <c r="P60" s="176" t="str">
        <f t="shared" si="10"/>
        <v/>
      </c>
      <c r="Q60" s="177"/>
      <c r="R60" s="177"/>
      <c r="S60" s="177"/>
      <c r="T60" s="177"/>
      <c r="U60" s="177"/>
      <c r="V60" s="177"/>
      <c r="W60" s="144"/>
      <c r="X60" s="178" t="str">
        <f t="shared" si="11"/>
        <v/>
      </c>
      <c r="Y60" s="179"/>
      <c r="Z60" s="145" t="str">
        <f t="shared" si="12"/>
        <v/>
      </c>
      <c r="AA60" s="146" t="str">
        <f t="shared" si="13"/>
        <v/>
      </c>
      <c r="AB60" s="180"/>
      <c r="AC60" s="156"/>
    </row>
    <row r="61" spans="1:29">
      <c r="A61">
        <f t="shared" si="6"/>
        <v>30</v>
      </c>
      <c r="B61">
        <f>Fastest!C61</f>
        <v>49</v>
      </c>
      <c r="C61" t="str">
        <f>Fastest!AB61</f>
        <v>-</v>
      </c>
      <c r="D61">
        <f>IF(ISNA(Fastest!AC61),"",Fastest!AC61)</f>
        <v>1.7361111111124927E-4</v>
      </c>
      <c r="E61">
        <f t="shared" si="7"/>
        <v>0.99982644988888869</v>
      </c>
      <c r="F61" s="95">
        <v>52</v>
      </c>
      <c r="G61" s="174">
        <v>52</v>
      </c>
      <c r="H61" s="175" t="str">
        <f t="shared" si="8"/>
        <v/>
      </c>
      <c r="I61" s="176" t="str">
        <f t="shared" si="9"/>
        <v/>
      </c>
      <c r="J61" s="177"/>
      <c r="K61" s="177"/>
      <c r="L61" s="177"/>
      <c r="M61" s="177"/>
      <c r="N61" s="177"/>
      <c r="O61" s="177"/>
      <c r="P61" s="176" t="str">
        <f t="shared" si="10"/>
        <v/>
      </c>
      <c r="Q61" s="177"/>
      <c r="R61" s="177"/>
      <c r="S61" s="177"/>
      <c r="T61" s="177"/>
      <c r="U61" s="177"/>
      <c r="V61" s="177"/>
      <c r="W61" s="144"/>
      <c r="X61" s="178" t="str">
        <f t="shared" si="11"/>
        <v/>
      </c>
      <c r="Y61" s="179"/>
      <c r="Z61" s="145" t="str">
        <f t="shared" si="12"/>
        <v/>
      </c>
      <c r="AA61" s="146" t="str">
        <f t="shared" si="13"/>
        <v/>
      </c>
      <c r="AB61" s="180"/>
      <c r="AC61" s="156"/>
    </row>
    <row r="62" spans="1:29">
      <c r="A62">
        <f t="shared" si="6"/>
        <v>32</v>
      </c>
      <c r="B62">
        <f>Fastest!C62</f>
        <v>46</v>
      </c>
      <c r="C62" t="str">
        <f>Fastest!AB62</f>
        <v>-</v>
      </c>
      <c r="D62">
        <f>IF(ISNA(Fastest!AC62),"",Fastest!AC62)</f>
        <v>1.6898148148149147E-3</v>
      </c>
      <c r="E62">
        <f t="shared" si="7"/>
        <v>0.99831024718518513</v>
      </c>
      <c r="F62" s="95">
        <v>53</v>
      </c>
      <c r="G62" s="174">
        <v>53</v>
      </c>
      <c r="H62" s="175" t="str">
        <f t="shared" si="8"/>
        <v/>
      </c>
      <c r="I62" s="176" t="str">
        <f t="shared" si="9"/>
        <v/>
      </c>
      <c r="J62" s="177"/>
      <c r="K62" s="177"/>
      <c r="L62" s="177"/>
      <c r="M62" s="177"/>
      <c r="N62" s="177"/>
      <c r="O62" s="177"/>
      <c r="P62" s="176" t="str">
        <f t="shared" si="10"/>
        <v/>
      </c>
      <c r="Q62" s="177"/>
      <c r="R62" s="177"/>
      <c r="S62" s="177"/>
      <c r="T62" s="177"/>
      <c r="U62" s="177"/>
      <c r="V62" s="177"/>
      <c r="W62" s="144"/>
      <c r="X62" s="178" t="str">
        <f t="shared" si="11"/>
        <v/>
      </c>
      <c r="Y62" s="179"/>
      <c r="Z62" s="145" t="str">
        <f t="shared" si="12"/>
        <v/>
      </c>
      <c r="AA62" s="146" t="str">
        <f t="shared" si="13"/>
        <v/>
      </c>
      <c r="AB62" s="180"/>
      <c r="AC62" s="156"/>
    </row>
    <row r="63" spans="1:29">
      <c r="A63">
        <f t="shared" si="6"/>
        <v>28</v>
      </c>
      <c r="B63">
        <f>Fastest!C63</f>
        <v>29</v>
      </c>
      <c r="C63" t="str">
        <f>Fastest!AB63</f>
        <v>+</v>
      </c>
      <c r="D63">
        <f>IF(ISNA(Fastest!AC63),"",Fastest!AC63)</f>
        <v>2.4305555556037098E-4</v>
      </c>
      <c r="E63">
        <f t="shared" si="7"/>
        <v>1.0002431185555605</v>
      </c>
      <c r="F63" s="95">
        <v>54</v>
      </c>
      <c r="G63" s="174">
        <v>54</v>
      </c>
      <c r="H63" s="175" t="str">
        <f t="shared" si="8"/>
        <v/>
      </c>
      <c r="I63" s="176" t="str">
        <f t="shared" si="9"/>
        <v/>
      </c>
      <c r="J63" s="177"/>
      <c r="K63" s="177"/>
      <c r="L63" s="177"/>
      <c r="M63" s="177"/>
      <c r="N63" s="177"/>
      <c r="O63" s="177"/>
      <c r="P63" s="176" t="str">
        <f t="shared" si="10"/>
        <v/>
      </c>
      <c r="Q63" s="177"/>
      <c r="R63" s="177"/>
      <c r="S63" s="177"/>
      <c r="T63" s="177"/>
      <c r="U63" s="177"/>
      <c r="V63" s="177"/>
      <c r="W63" s="144"/>
      <c r="X63" s="178" t="str">
        <f t="shared" si="11"/>
        <v/>
      </c>
      <c r="Y63" s="179"/>
      <c r="Z63" s="145" t="str">
        <f t="shared" si="12"/>
        <v/>
      </c>
      <c r="AA63" s="146" t="str">
        <f t="shared" si="13"/>
        <v/>
      </c>
      <c r="AB63" s="180"/>
      <c r="AC63" s="156"/>
    </row>
    <row r="64" spans="1:29">
      <c r="A64" t="str">
        <f t="shared" si="6"/>
        <v/>
      </c>
      <c r="B64">
        <f>Fastest!C64</f>
        <v>39</v>
      </c>
      <c r="C64" t="str">
        <f>Fastest!AB64</f>
        <v/>
      </c>
      <c r="D64" t="str">
        <f>IF(ISNA(Fastest!AC64),"",Fastest!AC64)</f>
        <v/>
      </c>
      <c r="E64" t="str">
        <f t="shared" si="7"/>
        <v/>
      </c>
      <c r="F64" s="95">
        <v>55</v>
      </c>
      <c r="G64" s="174">
        <v>55</v>
      </c>
      <c r="H64" s="175" t="str">
        <f t="shared" si="8"/>
        <v/>
      </c>
      <c r="I64" s="176" t="str">
        <f t="shared" si="9"/>
        <v/>
      </c>
      <c r="J64" s="177"/>
      <c r="K64" s="177"/>
      <c r="L64" s="177"/>
      <c r="M64" s="177"/>
      <c r="N64" s="177"/>
      <c r="O64" s="177"/>
      <c r="P64" s="176" t="str">
        <f t="shared" si="10"/>
        <v/>
      </c>
      <c r="Q64" s="177"/>
      <c r="R64" s="177"/>
      <c r="S64" s="177"/>
      <c r="T64" s="177"/>
      <c r="U64" s="177"/>
      <c r="V64" s="177"/>
      <c r="W64" s="144"/>
      <c r="X64" s="178" t="str">
        <f t="shared" si="11"/>
        <v/>
      </c>
      <c r="Y64" s="179"/>
      <c r="Z64" s="145" t="str">
        <f t="shared" si="12"/>
        <v/>
      </c>
      <c r="AA64" s="146" t="str">
        <f t="shared" si="13"/>
        <v/>
      </c>
      <c r="AB64" s="180"/>
      <c r="AC64" s="156"/>
    </row>
    <row r="65" spans="1:29">
      <c r="A65">
        <f t="shared" si="6"/>
        <v>31</v>
      </c>
      <c r="B65">
        <f>Fastest!C65</f>
        <v>9</v>
      </c>
      <c r="C65" t="str">
        <f>Fastest!AB65</f>
        <v>-</v>
      </c>
      <c r="D65">
        <f>IF(ISNA(Fastest!AC65),"",Fastest!AC65)</f>
        <v>1.1111111111111148E-3</v>
      </c>
      <c r="E65">
        <f t="shared" si="7"/>
        <v>0.99888895388888899</v>
      </c>
      <c r="F65" s="95">
        <v>56</v>
      </c>
      <c r="G65" s="174">
        <v>56</v>
      </c>
      <c r="H65" s="175" t="str">
        <f t="shared" si="8"/>
        <v/>
      </c>
      <c r="I65" s="176" t="str">
        <f t="shared" si="9"/>
        <v/>
      </c>
      <c r="J65" s="177"/>
      <c r="K65" s="177"/>
      <c r="L65" s="177"/>
      <c r="M65" s="177"/>
      <c r="N65" s="177"/>
      <c r="O65" s="177"/>
      <c r="P65" s="176" t="str">
        <f t="shared" si="10"/>
        <v/>
      </c>
      <c r="Q65" s="177"/>
      <c r="R65" s="177"/>
      <c r="S65" s="177"/>
      <c r="T65" s="177"/>
      <c r="U65" s="177"/>
      <c r="V65" s="177"/>
      <c r="W65" s="144"/>
      <c r="X65" s="178" t="str">
        <f t="shared" si="11"/>
        <v/>
      </c>
      <c r="Y65" s="179"/>
      <c r="Z65" s="145" t="str">
        <f t="shared" si="12"/>
        <v/>
      </c>
      <c r="AA65" s="146" t="str">
        <f t="shared" si="13"/>
        <v/>
      </c>
      <c r="AB65" s="180"/>
      <c r="AC65" s="156"/>
    </row>
    <row r="66" spans="1:29">
      <c r="A66" t="str">
        <f t="shared" si="6"/>
        <v/>
      </c>
      <c r="B66" t="str">
        <f>Fastest!C66</f>
        <v/>
      </c>
      <c r="C66" t="str">
        <f>Fastest!AB66</f>
        <v/>
      </c>
      <c r="D66" t="str">
        <f>IF(ISNA(Fastest!AC66),"",Fastest!AC66)</f>
        <v/>
      </c>
      <c r="E66" t="str">
        <f t="shared" si="7"/>
        <v/>
      </c>
      <c r="F66" s="95">
        <v>57</v>
      </c>
      <c r="G66" s="174">
        <v>57</v>
      </c>
      <c r="H66" s="175" t="str">
        <f t="shared" si="8"/>
        <v/>
      </c>
      <c r="I66" s="176" t="str">
        <f t="shared" si="9"/>
        <v/>
      </c>
      <c r="J66" s="177"/>
      <c r="K66" s="177"/>
      <c r="L66" s="177"/>
      <c r="M66" s="177"/>
      <c r="N66" s="177"/>
      <c r="O66" s="177"/>
      <c r="P66" s="176" t="str">
        <f t="shared" si="10"/>
        <v/>
      </c>
      <c r="Q66" s="177"/>
      <c r="R66" s="177"/>
      <c r="S66" s="177"/>
      <c r="T66" s="177"/>
      <c r="U66" s="177"/>
      <c r="V66" s="177"/>
      <c r="W66" s="144"/>
      <c r="X66" s="178" t="str">
        <f t="shared" si="11"/>
        <v/>
      </c>
      <c r="Y66" s="179"/>
      <c r="Z66" s="145" t="str">
        <f t="shared" si="12"/>
        <v/>
      </c>
      <c r="AA66" s="146" t="str">
        <f t="shared" si="13"/>
        <v/>
      </c>
      <c r="AB66" s="180"/>
      <c r="AC66" s="156"/>
    </row>
    <row r="67" spans="1:29">
      <c r="A67" t="str">
        <f t="shared" si="6"/>
        <v/>
      </c>
      <c r="B67" t="str">
        <f>Fastest!C67</f>
        <v/>
      </c>
      <c r="C67" t="str">
        <f>Fastest!AB67</f>
        <v/>
      </c>
      <c r="D67" t="str">
        <f>IF(ISNA(Fastest!AC67),"",Fastest!AC67)</f>
        <v/>
      </c>
      <c r="E67" t="str">
        <f t="shared" si="7"/>
        <v/>
      </c>
      <c r="F67" s="95">
        <v>58</v>
      </c>
      <c r="G67" s="174">
        <v>58</v>
      </c>
      <c r="H67" s="175" t="str">
        <f t="shared" si="8"/>
        <v/>
      </c>
      <c r="I67" s="176" t="str">
        <f t="shared" si="9"/>
        <v/>
      </c>
      <c r="J67" s="177"/>
      <c r="K67" s="177"/>
      <c r="L67" s="177"/>
      <c r="M67" s="177"/>
      <c r="N67" s="177"/>
      <c r="O67" s="177"/>
      <c r="P67" s="176" t="str">
        <f t="shared" si="10"/>
        <v/>
      </c>
      <c r="Q67" s="177"/>
      <c r="R67" s="177"/>
      <c r="S67" s="177"/>
      <c r="T67" s="177"/>
      <c r="U67" s="177"/>
      <c r="V67" s="177"/>
      <c r="W67" s="144"/>
      <c r="X67" s="178" t="str">
        <f t="shared" si="11"/>
        <v/>
      </c>
      <c r="Y67" s="179"/>
      <c r="Z67" s="145" t="str">
        <f t="shared" si="12"/>
        <v/>
      </c>
      <c r="AA67" s="146" t="str">
        <f t="shared" si="13"/>
        <v/>
      </c>
      <c r="AB67" s="180"/>
      <c r="AC67" s="156"/>
    </row>
    <row r="68" spans="1:29">
      <c r="A68" t="str">
        <f t="shared" si="6"/>
        <v/>
      </c>
      <c r="B68" t="str">
        <f>Fastest!C68</f>
        <v/>
      </c>
      <c r="C68" t="str">
        <f>Fastest!AB68</f>
        <v/>
      </c>
      <c r="D68" t="str">
        <f>IF(ISNA(Fastest!AC68),"",Fastest!AC68)</f>
        <v/>
      </c>
      <c r="E68" t="str">
        <f t="shared" si="7"/>
        <v/>
      </c>
      <c r="F68" s="95">
        <v>59</v>
      </c>
      <c r="G68" s="174">
        <v>59</v>
      </c>
      <c r="H68" s="175" t="str">
        <f t="shared" si="8"/>
        <v/>
      </c>
      <c r="I68" s="176" t="str">
        <f t="shared" si="9"/>
        <v/>
      </c>
      <c r="J68" s="177"/>
      <c r="K68" s="177"/>
      <c r="L68" s="177"/>
      <c r="M68" s="177"/>
      <c r="N68" s="177"/>
      <c r="O68" s="177"/>
      <c r="P68" s="176" t="str">
        <f t="shared" si="10"/>
        <v/>
      </c>
      <c r="Q68" s="177"/>
      <c r="R68" s="177"/>
      <c r="S68" s="177"/>
      <c r="T68" s="177"/>
      <c r="U68" s="177"/>
      <c r="V68" s="177"/>
      <c r="W68" s="144"/>
      <c r="X68" s="178" t="str">
        <f t="shared" si="11"/>
        <v/>
      </c>
      <c r="Y68" s="179"/>
      <c r="Z68" s="145" t="str">
        <f t="shared" si="12"/>
        <v/>
      </c>
      <c r="AA68" s="146" t="str">
        <f t="shared" si="13"/>
        <v/>
      </c>
      <c r="AB68" s="180"/>
      <c r="AC68" s="156"/>
    </row>
    <row r="69" spans="1:29">
      <c r="A69" t="str">
        <f t="shared" si="6"/>
        <v/>
      </c>
      <c r="B69" t="str">
        <f>Fastest!C69</f>
        <v/>
      </c>
      <c r="C69" t="str">
        <f>Fastest!AB69</f>
        <v/>
      </c>
      <c r="D69" t="str">
        <f>IF(ISNA(Fastest!AC69),"",Fastest!AC69)</f>
        <v/>
      </c>
      <c r="E69" t="str">
        <f t="shared" si="7"/>
        <v/>
      </c>
      <c r="F69" s="95">
        <v>60</v>
      </c>
      <c r="G69" s="174">
        <v>60</v>
      </c>
      <c r="H69" s="175" t="str">
        <f t="shared" si="8"/>
        <v/>
      </c>
      <c r="I69" s="176" t="str">
        <f t="shared" si="9"/>
        <v/>
      </c>
      <c r="J69" s="177"/>
      <c r="K69" s="177"/>
      <c r="L69" s="177"/>
      <c r="M69" s="177"/>
      <c r="N69" s="177"/>
      <c r="O69" s="177"/>
      <c r="P69" s="176" t="str">
        <f t="shared" si="10"/>
        <v/>
      </c>
      <c r="Q69" s="177"/>
      <c r="R69" s="177"/>
      <c r="S69" s="177"/>
      <c r="T69" s="177"/>
      <c r="U69" s="177"/>
      <c r="V69" s="177"/>
      <c r="W69" s="144"/>
      <c r="X69" s="178" t="str">
        <f t="shared" si="11"/>
        <v/>
      </c>
      <c r="Y69" s="179"/>
      <c r="Z69" s="145" t="str">
        <f t="shared" si="12"/>
        <v/>
      </c>
      <c r="AA69" s="146" t="str">
        <f t="shared" si="13"/>
        <v/>
      </c>
      <c r="AB69" s="180"/>
      <c r="AC69" s="156"/>
    </row>
    <row r="70" spans="1:29">
      <c r="A70" t="str">
        <f t="shared" si="6"/>
        <v/>
      </c>
      <c r="B70" t="str">
        <f>Fastest!C70</f>
        <v/>
      </c>
      <c r="C70" t="str">
        <f>Fastest!AB70</f>
        <v/>
      </c>
      <c r="D70" t="str">
        <f>IF(ISNA(Fastest!AC70),"",Fastest!AC70)</f>
        <v/>
      </c>
      <c r="E70" t="str">
        <f t="shared" si="7"/>
        <v/>
      </c>
      <c r="F70" s="95">
        <v>61</v>
      </c>
      <c r="G70" s="174">
        <v>61</v>
      </c>
      <c r="H70" s="175" t="str">
        <f t="shared" si="8"/>
        <v/>
      </c>
      <c r="I70" s="176" t="str">
        <f t="shared" si="9"/>
        <v/>
      </c>
      <c r="J70" s="177"/>
      <c r="K70" s="177"/>
      <c r="L70" s="177"/>
      <c r="M70" s="177"/>
      <c r="N70" s="177"/>
      <c r="O70" s="177"/>
      <c r="P70" s="176" t="str">
        <f t="shared" si="10"/>
        <v/>
      </c>
      <c r="Q70" s="177"/>
      <c r="R70" s="177"/>
      <c r="S70" s="177"/>
      <c r="T70" s="177"/>
      <c r="U70" s="177"/>
      <c r="V70" s="177"/>
      <c r="W70" s="144"/>
      <c r="X70" s="178" t="str">
        <f t="shared" si="11"/>
        <v/>
      </c>
      <c r="Y70" s="179"/>
      <c r="Z70" s="145" t="str">
        <f t="shared" si="12"/>
        <v/>
      </c>
      <c r="AA70" s="146" t="str">
        <f t="shared" si="13"/>
        <v/>
      </c>
      <c r="AB70" s="180"/>
      <c r="AC70" s="156"/>
    </row>
    <row r="71" spans="1:29">
      <c r="A71" t="str">
        <f t="shared" si="6"/>
        <v/>
      </c>
      <c r="B71" t="str">
        <f>Fastest!C71</f>
        <v/>
      </c>
      <c r="C71" t="str">
        <f>Fastest!AB71</f>
        <v/>
      </c>
      <c r="D71" t="str">
        <f>IF(ISNA(Fastest!AC71),"",Fastest!AC71)</f>
        <v/>
      </c>
      <c r="E71" t="str">
        <f t="shared" si="7"/>
        <v/>
      </c>
      <c r="F71" s="95">
        <v>62</v>
      </c>
      <c r="G71" s="174">
        <v>62</v>
      </c>
      <c r="H71" s="175" t="str">
        <f t="shared" si="8"/>
        <v/>
      </c>
      <c r="I71" s="176" t="str">
        <f t="shared" si="9"/>
        <v/>
      </c>
      <c r="J71" s="177"/>
      <c r="K71" s="177"/>
      <c r="L71" s="177"/>
      <c r="M71" s="177"/>
      <c r="N71" s="177"/>
      <c r="O71" s="177"/>
      <c r="P71" s="176" t="str">
        <f t="shared" si="10"/>
        <v/>
      </c>
      <c r="Q71" s="177"/>
      <c r="R71" s="177"/>
      <c r="S71" s="177"/>
      <c r="T71" s="177"/>
      <c r="U71" s="177"/>
      <c r="V71" s="177"/>
      <c r="W71" s="144"/>
      <c r="X71" s="178" t="str">
        <f t="shared" si="11"/>
        <v/>
      </c>
      <c r="Y71" s="179"/>
      <c r="Z71" s="145" t="str">
        <f t="shared" si="12"/>
        <v/>
      </c>
      <c r="AA71" s="146" t="str">
        <f t="shared" si="13"/>
        <v/>
      </c>
      <c r="AB71" s="180"/>
      <c r="AC71" s="156"/>
    </row>
    <row r="72" spans="1:29">
      <c r="A72" t="str">
        <f t="shared" si="6"/>
        <v/>
      </c>
      <c r="B72" t="str">
        <f>Fastest!C72</f>
        <v/>
      </c>
      <c r="C72" t="str">
        <f>Fastest!AB72</f>
        <v/>
      </c>
      <c r="D72" t="str">
        <f>IF(ISNA(Fastest!AC72),"",Fastest!AC72)</f>
        <v/>
      </c>
      <c r="E72" t="str">
        <f t="shared" si="7"/>
        <v/>
      </c>
      <c r="F72" s="95">
        <v>63</v>
      </c>
      <c r="G72" s="174">
        <v>63</v>
      </c>
      <c r="H72" s="175" t="str">
        <f t="shared" si="8"/>
        <v/>
      </c>
      <c r="I72" s="176" t="str">
        <f t="shared" si="9"/>
        <v/>
      </c>
      <c r="J72" s="177"/>
      <c r="K72" s="177"/>
      <c r="L72" s="177"/>
      <c r="M72" s="177"/>
      <c r="N72" s="177"/>
      <c r="O72" s="177"/>
      <c r="P72" s="176" t="str">
        <f t="shared" si="10"/>
        <v/>
      </c>
      <c r="Q72" s="177"/>
      <c r="R72" s="177"/>
      <c r="S72" s="177"/>
      <c r="T72" s="177"/>
      <c r="U72" s="177"/>
      <c r="V72" s="177"/>
      <c r="W72" s="144"/>
      <c r="X72" s="178" t="str">
        <f t="shared" si="11"/>
        <v/>
      </c>
      <c r="Y72" s="179"/>
      <c r="Z72" s="145" t="str">
        <f t="shared" si="12"/>
        <v/>
      </c>
      <c r="AA72" s="146" t="str">
        <f t="shared" si="13"/>
        <v/>
      </c>
      <c r="AB72" s="180"/>
      <c r="AC72" s="156"/>
    </row>
    <row r="73" spans="1:29">
      <c r="A73" t="str">
        <f t="shared" si="6"/>
        <v/>
      </c>
      <c r="B73" t="str">
        <f>Fastest!C73</f>
        <v/>
      </c>
      <c r="C73" t="str">
        <f>Fastest!AB73</f>
        <v/>
      </c>
      <c r="D73" t="str">
        <f>IF(ISNA(Fastest!AC73),"",Fastest!AC73)</f>
        <v/>
      </c>
      <c r="E73" t="str">
        <f t="shared" si="7"/>
        <v/>
      </c>
      <c r="F73" s="95">
        <v>64</v>
      </c>
      <c r="G73" s="174">
        <v>64</v>
      </c>
      <c r="H73" s="175" t="str">
        <f t="shared" si="8"/>
        <v/>
      </c>
      <c r="I73" s="176" t="str">
        <f t="shared" si="9"/>
        <v/>
      </c>
      <c r="J73" s="177"/>
      <c r="K73" s="177"/>
      <c r="L73" s="177"/>
      <c r="M73" s="177"/>
      <c r="N73" s="177"/>
      <c r="O73" s="177"/>
      <c r="P73" s="176" t="str">
        <f t="shared" si="10"/>
        <v/>
      </c>
      <c r="Q73" s="177"/>
      <c r="R73" s="177"/>
      <c r="S73" s="177"/>
      <c r="T73" s="177"/>
      <c r="U73" s="177"/>
      <c r="V73" s="177"/>
      <c r="W73" s="144"/>
      <c r="X73" s="178" t="str">
        <f t="shared" si="11"/>
        <v/>
      </c>
      <c r="Y73" s="179"/>
      <c r="Z73" s="145" t="str">
        <f t="shared" si="12"/>
        <v/>
      </c>
      <c r="AA73" s="146" t="str">
        <f t="shared" si="13"/>
        <v/>
      </c>
      <c r="AB73" s="180"/>
      <c r="AC73" s="156"/>
    </row>
    <row r="74" spans="1:29">
      <c r="A74" t="str">
        <f t="shared" si="6"/>
        <v/>
      </c>
      <c r="B74" t="str">
        <f>Fastest!C74</f>
        <v/>
      </c>
      <c r="C74" t="str">
        <f>Fastest!AB74</f>
        <v/>
      </c>
      <c r="D74" t="str">
        <f>IF(ISNA(Fastest!AC74),"",Fastest!AC74)</f>
        <v/>
      </c>
      <c r="E74" t="str">
        <f t="shared" si="7"/>
        <v/>
      </c>
      <c r="F74" s="95">
        <v>65</v>
      </c>
      <c r="G74" s="174">
        <v>65</v>
      </c>
      <c r="H74" s="175" t="str">
        <f t="shared" ref="H74:H105" si="14">IF(IF(ISNA(VLOOKUP($F74,Vet,2,FALSE)),"",VLOOKUP($F74,Vet,2,FALSE))=0,"",IF(ISNA(VLOOKUP($F74,Vet,2,FALSE)),"",VLOOKUP($F74,Vet,2,FALSE)))</f>
        <v/>
      </c>
      <c r="I74" s="176" t="str">
        <f t="shared" ref="I74:I105" si="15">IF(IF(ISNA(VLOOKUP($H74,Field,2,FALSE)),"",VLOOKUP($H74,Field,2,FALSE))=0,"",IF(ISNA(VLOOKUP($H74,Field,2,FALSE)),"",VLOOKUP($H74,Field,2,FALSE)))</f>
        <v/>
      </c>
      <c r="J74" s="177"/>
      <c r="K74" s="177"/>
      <c r="L74" s="177"/>
      <c r="M74" s="177"/>
      <c r="N74" s="177"/>
      <c r="O74" s="177"/>
      <c r="P74" s="176" t="str">
        <f t="shared" ref="P74:P105" si="16">IF(IF(ISNA(VLOOKUP($H74,Field,3,FALSE)),"",VLOOKUP($H74,Field,3,FALSE))=0,"",IF(ISNA(VLOOKUP($H74,Field,3,FALSE)),"",VLOOKUP($H74,Field,3,FALSE)))</f>
        <v/>
      </c>
      <c r="Q74" s="177"/>
      <c r="R74" s="177"/>
      <c r="S74" s="177"/>
      <c r="T74" s="177"/>
      <c r="U74" s="177"/>
      <c r="V74" s="177"/>
      <c r="W74" s="144"/>
      <c r="X74" s="178" t="str">
        <f t="shared" ref="X74:X105" si="17">IF(IF(ISNA(VLOOKUP($H74,Field,5,FALSE)),"",VLOOKUP($H74,Field,5,FALSE))=0,"",IF(ISNA(VLOOKUP($H74,Field,5,FALSE)),"",VLOOKUP($H74,Field,5,FALSE)))</f>
        <v/>
      </c>
      <c r="Y74" s="179"/>
      <c r="Z74" s="145" t="str">
        <f t="shared" ref="Z74:Z105" si="18">IF(IF(ISNA(VLOOKUP($H74,Field,14,FALSE)),"",VLOOKUP($H74,Field,14,FALSE))=0,"",IF(ISNA(VLOOKUP($H74,Field,14,FALSE)),"",VLOOKUP($H74,Field,14,FALSE)))</f>
        <v/>
      </c>
      <c r="AA74" s="146" t="str">
        <f t="shared" ref="AA74:AA105" si="19">IF(IF(ISNA(VLOOKUP($H74,Field,15,FALSE)),"",VLOOKUP($H74,Field,15,FALSE))=0,"",IF(ISNA(VLOOKUP($H74,Field,15,FALSE)),"",VLOOKUP($H74,Field,15,FALSE)))</f>
        <v/>
      </c>
      <c r="AB74" s="180"/>
      <c r="AC74" s="156"/>
    </row>
    <row r="75" spans="1:29">
      <c r="A75" t="str">
        <f t="shared" ref="A75:A138" si="20">IF(ISERROR(RANK(E75,$E$10:$E$209,0)),"",RANK(E75,$E$10:$E$209,0))</f>
        <v/>
      </c>
      <c r="B75" t="str">
        <f>Fastest!C75</f>
        <v/>
      </c>
      <c r="C75" t="str">
        <f>Fastest!AB75</f>
        <v/>
      </c>
      <c r="D75" t="str">
        <f>IF(ISNA(Fastest!AC75),"",Fastest!AC75)</f>
        <v/>
      </c>
      <c r="E75" t="str">
        <f t="shared" ref="E75:E138" si="21">IF(D75="","",IF(C75="+",D75 + 1 + 0.000000001*ROW(),1 + 0.000000001*ROW()-D75))</f>
        <v/>
      </c>
      <c r="F75" s="95">
        <v>66</v>
      </c>
      <c r="G75" s="174">
        <v>66</v>
      </c>
      <c r="H75" s="175" t="str">
        <f t="shared" si="14"/>
        <v/>
      </c>
      <c r="I75" s="176" t="str">
        <f t="shared" si="15"/>
        <v/>
      </c>
      <c r="J75" s="177"/>
      <c r="K75" s="177"/>
      <c r="L75" s="177"/>
      <c r="M75" s="177"/>
      <c r="N75" s="177"/>
      <c r="O75" s="177"/>
      <c r="P75" s="176" t="str">
        <f t="shared" si="16"/>
        <v/>
      </c>
      <c r="Q75" s="177"/>
      <c r="R75" s="177"/>
      <c r="S75" s="177"/>
      <c r="T75" s="177"/>
      <c r="U75" s="177"/>
      <c r="V75" s="177"/>
      <c r="W75" s="144"/>
      <c r="X75" s="178" t="str">
        <f t="shared" si="17"/>
        <v/>
      </c>
      <c r="Y75" s="179"/>
      <c r="Z75" s="145" t="str">
        <f t="shared" si="18"/>
        <v/>
      </c>
      <c r="AA75" s="146" t="str">
        <f t="shared" si="19"/>
        <v/>
      </c>
      <c r="AB75" s="180"/>
      <c r="AC75" s="156"/>
    </row>
    <row r="76" spans="1:29">
      <c r="A76" t="str">
        <f t="shared" si="20"/>
        <v/>
      </c>
      <c r="B76" t="str">
        <f>Fastest!C76</f>
        <v/>
      </c>
      <c r="C76" t="str">
        <f>Fastest!AB76</f>
        <v/>
      </c>
      <c r="D76" t="str">
        <f>IF(ISNA(Fastest!AC76),"",Fastest!AC76)</f>
        <v/>
      </c>
      <c r="E76" t="str">
        <f t="shared" si="21"/>
        <v/>
      </c>
      <c r="F76" s="95">
        <v>67</v>
      </c>
      <c r="G76" s="174">
        <v>67</v>
      </c>
      <c r="H76" s="175" t="str">
        <f t="shared" si="14"/>
        <v/>
      </c>
      <c r="I76" s="176" t="str">
        <f t="shared" si="15"/>
        <v/>
      </c>
      <c r="J76" s="177"/>
      <c r="K76" s="177"/>
      <c r="L76" s="177"/>
      <c r="M76" s="177"/>
      <c r="N76" s="177"/>
      <c r="O76" s="177"/>
      <c r="P76" s="176" t="str">
        <f t="shared" si="16"/>
        <v/>
      </c>
      <c r="Q76" s="177"/>
      <c r="R76" s="177"/>
      <c r="S76" s="177"/>
      <c r="T76" s="177"/>
      <c r="U76" s="177"/>
      <c r="V76" s="177"/>
      <c r="W76" s="144"/>
      <c r="X76" s="178" t="str">
        <f t="shared" si="17"/>
        <v/>
      </c>
      <c r="Y76" s="179"/>
      <c r="Z76" s="145" t="str">
        <f t="shared" si="18"/>
        <v/>
      </c>
      <c r="AA76" s="146" t="str">
        <f t="shared" si="19"/>
        <v/>
      </c>
      <c r="AB76" s="180"/>
      <c r="AC76" s="156"/>
    </row>
    <row r="77" spans="1:29">
      <c r="A77" t="str">
        <f t="shared" si="20"/>
        <v/>
      </c>
      <c r="B77" t="str">
        <f>Fastest!C77</f>
        <v/>
      </c>
      <c r="C77" t="str">
        <f>Fastest!AB77</f>
        <v/>
      </c>
      <c r="D77" t="str">
        <f>IF(ISNA(Fastest!AC77),"",Fastest!AC77)</f>
        <v/>
      </c>
      <c r="E77" t="str">
        <f t="shared" si="21"/>
        <v/>
      </c>
      <c r="F77" s="95">
        <v>68</v>
      </c>
      <c r="G77" s="174">
        <v>68</v>
      </c>
      <c r="H77" s="175" t="str">
        <f t="shared" si="14"/>
        <v/>
      </c>
      <c r="I77" s="176" t="str">
        <f t="shared" si="15"/>
        <v/>
      </c>
      <c r="J77" s="177"/>
      <c r="K77" s="177"/>
      <c r="L77" s="177"/>
      <c r="M77" s="177"/>
      <c r="N77" s="177"/>
      <c r="O77" s="177"/>
      <c r="P77" s="176" t="str">
        <f t="shared" si="16"/>
        <v/>
      </c>
      <c r="Q77" s="177"/>
      <c r="R77" s="177"/>
      <c r="S77" s="177"/>
      <c r="T77" s="177"/>
      <c r="U77" s="177"/>
      <c r="V77" s="177"/>
      <c r="W77" s="144"/>
      <c r="X77" s="178" t="str">
        <f t="shared" si="17"/>
        <v/>
      </c>
      <c r="Y77" s="179"/>
      <c r="Z77" s="145" t="str">
        <f t="shared" si="18"/>
        <v/>
      </c>
      <c r="AA77" s="146" t="str">
        <f t="shared" si="19"/>
        <v/>
      </c>
      <c r="AB77" s="180"/>
      <c r="AC77" s="156"/>
    </row>
    <row r="78" spans="1:29">
      <c r="A78" t="str">
        <f t="shared" si="20"/>
        <v/>
      </c>
      <c r="B78" t="str">
        <f>Fastest!C78</f>
        <v/>
      </c>
      <c r="C78" t="str">
        <f>Fastest!AB78</f>
        <v/>
      </c>
      <c r="D78" t="str">
        <f>IF(ISNA(Fastest!AC78),"",Fastest!AC78)</f>
        <v/>
      </c>
      <c r="E78" t="str">
        <f t="shared" si="21"/>
        <v/>
      </c>
      <c r="F78" s="95">
        <v>69</v>
      </c>
      <c r="G78" s="174">
        <v>69</v>
      </c>
      <c r="H78" s="175" t="str">
        <f t="shared" si="14"/>
        <v/>
      </c>
      <c r="I78" s="176" t="str">
        <f t="shared" si="15"/>
        <v/>
      </c>
      <c r="J78" s="177"/>
      <c r="K78" s="177"/>
      <c r="L78" s="177"/>
      <c r="M78" s="177"/>
      <c r="N78" s="177"/>
      <c r="O78" s="177"/>
      <c r="P78" s="176" t="str">
        <f t="shared" si="16"/>
        <v/>
      </c>
      <c r="Q78" s="177"/>
      <c r="R78" s="177"/>
      <c r="S78" s="177"/>
      <c r="T78" s="177"/>
      <c r="U78" s="177"/>
      <c r="V78" s="177"/>
      <c r="W78" s="144"/>
      <c r="X78" s="178" t="str">
        <f t="shared" si="17"/>
        <v/>
      </c>
      <c r="Y78" s="179"/>
      <c r="Z78" s="145" t="str">
        <f t="shared" si="18"/>
        <v/>
      </c>
      <c r="AA78" s="146" t="str">
        <f t="shared" si="19"/>
        <v/>
      </c>
      <c r="AB78" s="180"/>
      <c r="AC78" s="156"/>
    </row>
    <row r="79" spans="1:29">
      <c r="A79" t="str">
        <f t="shared" si="20"/>
        <v/>
      </c>
      <c r="B79" t="str">
        <f>Fastest!C79</f>
        <v/>
      </c>
      <c r="C79" t="str">
        <f>Fastest!AB79</f>
        <v/>
      </c>
      <c r="D79" t="str">
        <f>IF(ISNA(Fastest!AC79),"",Fastest!AC79)</f>
        <v/>
      </c>
      <c r="E79" t="str">
        <f t="shared" si="21"/>
        <v/>
      </c>
      <c r="F79" s="95">
        <v>70</v>
      </c>
      <c r="G79" s="174">
        <v>70</v>
      </c>
      <c r="H79" s="175" t="str">
        <f t="shared" si="14"/>
        <v/>
      </c>
      <c r="I79" s="176" t="str">
        <f t="shared" si="15"/>
        <v/>
      </c>
      <c r="J79" s="177"/>
      <c r="K79" s="177"/>
      <c r="L79" s="177"/>
      <c r="M79" s="177"/>
      <c r="N79" s="177"/>
      <c r="O79" s="177"/>
      <c r="P79" s="176" t="str">
        <f t="shared" si="16"/>
        <v/>
      </c>
      <c r="Q79" s="177"/>
      <c r="R79" s="177"/>
      <c r="S79" s="177"/>
      <c r="T79" s="177"/>
      <c r="U79" s="177"/>
      <c r="V79" s="177"/>
      <c r="W79" s="144"/>
      <c r="X79" s="178" t="str">
        <f t="shared" si="17"/>
        <v/>
      </c>
      <c r="Y79" s="179"/>
      <c r="Z79" s="145" t="str">
        <f t="shared" si="18"/>
        <v/>
      </c>
      <c r="AA79" s="146" t="str">
        <f t="shared" si="19"/>
        <v/>
      </c>
      <c r="AB79" s="180"/>
      <c r="AC79" s="156"/>
    </row>
    <row r="80" spans="1:29">
      <c r="A80" t="str">
        <f t="shared" si="20"/>
        <v/>
      </c>
      <c r="B80" t="str">
        <f>Fastest!C80</f>
        <v/>
      </c>
      <c r="C80" t="str">
        <f>Fastest!AB80</f>
        <v/>
      </c>
      <c r="D80" t="str">
        <f>IF(ISNA(Fastest!AC80),"",Fastest!AC80)</f>
        <v/>
      </c>
      <c r="E80" t="str">
        <f t="shared" si="21"/>
        <v/>
      </c>
      <c r="F80" s="95">
        <v>71</v>
      </c>
      <c r="G80" s="174">
        <v>71</v>
      </c>
      <c r="H80" s="175" t="str">
        <f t="shared" si="14"/>
        <v/>
      </c>
      <c r="I80" s="176" t="str">
        <f t="shared" si="15"/>
        <v/>
      </c>
      <c r="J80" s="177"/>
      <c r="K80" s="177"/>
      <c r="L80" s="177"/>
      <c r="M80" s="177"/>
      <c r="N80" s="177"/>
      <c r="O80" s="177"/>
      <c r="P80" s="176" t="str">
        <f t="shared" si="16"/>
        <v/>
      </c>
      <c r="Q80" s="177"/>
      <c r="R80" s="177"/>
      <c r="S80" s="177"/>
      <c r="T80" s="177"/>
      <c r="U80" s="177"/>
      <c r="V80" s="177"/>
      <c r="W80" s="144"/>
      <c r="X80" s="178" t="str">
        <f t="shared" si="17"/>
        <v/>
      </c>
      <c r="Y80" s="179"/>
      <c r="Z80" s="145" t="str">
        <f t="shared" si="18"/>
        <v/>
      </c>
      <c r="AA80" s="146" t="str">
        <f t="shared" si="19"/>
        <v/>
      </c>
      <c r="AB80" s="180"/>
      <c r="AC80" s="156"/>
    </row>
    <row r="81" spans="1:29">
      <c r="A81" t="str">
        <f t="shared" si="20"/>
        <v/>
      </c>
      <c r="B81" t="str">
        <f>Fastest!C81</f>
        <v/>
      </c>
      <c r="C81" t="str">
        <f>Fastest!AB81</f>
        <v/>
      </c>
      <c r="D81" t="str">
        <f>IF(ISNA(Fastest!AC81),"",Fastest!AC81)</f>
        <v/>
      </c>
      <c r="E81" t="str">
        <f t="shared" si="21"/>
        <v/>
      </c>
      <c r="F81" s="95">
        <v>72</v>
      </c>
      <c r="G81" s="174">
        <v>72</v>
      </c>
      <c r="H81" s="175" t="str">
        <f t="shared" si="14"/>
        <v/>
      </c>
      <c r="I81" s="176" t="str">
        <f t="shared" si="15"/>
        <v/>
      </c>
      <c r="J81" s="177"/>
      <c r="K81" s="177"/>
      <c r="L81" s="177"/>
      <c r="M81" s="177"/>
      <c r="N81" s="177"/>
      <c r="O81" s="177"/>
      <c r="P81" s="176" t="str">
        <f t="shared" si="16"/>
        <v/>
      </c>
      <c r="Q81" s="177"/>
      <c r="R81" s="177"/>
      <c r="S81" s="177"/>
      <c r="T81" s="177"/>
      <c r="U81" s="177"/>
      <c r="V81" s="177"/>
      <c r="W81" s="144"/>
      <c r="X81" s="178" t="str">
        <f t="shared" si="17"/>
        <v/>
      </c>
      <c r="Y81" s="179"/>
      <c r="Z81" s="145" t="str">
        <f t="shared" si="18"/>
        <v/>
      </c>
      <c r="AA81" s="146" t="str">
        <f t="shared" si="19"/>
        <v/>
      </c>
      <c r="AB81" s="180"/>
      <c r="AC81" s="156"/>
    </row>
    <row r="82" spans="1:29">
      <c r="A82" t="str">
        <f t="shared" si="20"/>
        <v/>
      </c>
      <c r="B82" t="str">
        <f>Fastest!C82</f>
        <v/>
      </c>
      <c r="C82" t="str">
        <f>Fastest!AB82</f>
        <v/>
      </c>
      <c r="D82" t="str">
        <f>IF(ISNA(Fastest!AC82),"",Fastest!AC82)</f>
        <v/>
      </c>
      <c r="E82" t="str">
        <f t="shared" si="21"/>
        <v/>
      </c>
      <c r="F82" s="95">
        <v>73</v>
      </c>
      <c r="G82" s="174">
        <v>73</v>
      </c>
      <c r="H82" s="175" t="str">
        <f t="shared" si="14"/>
        <v/>
      </c>
      <c r="I82" s="176" t="str">
        <f t="shared" si="15"/>
        <v/>
      </c>
      <c r="J82" s="177"/>
      <c r="K82" s="177"/>
      <c r="L82" s="177"/>
      <c r="M82" s="177"/>
      <c r="N82" s="177"/>
      <c r="O82" s="177"/>
      <c r="P82" s="176" t="str">
        <f t="shared" si="16"/>
        <v/>
      </c>
      <c r="Q82" s="177"/>
      <c r="R82" s="177"/>
      <c r="S82" s="177"/>
      <c r="T82" s="177"/>
      <c r="U82" s="177"/>
      <c r="V82" s="177"/>
      <c r="W82" s="144"/>
      <c r="X82" s="178" t="str">
        <f t="shared" si="17"/>
        <v/>
      </c>
      <c r="Y82" s="179"/>
      <c r="Z82" s="145" t="str">
        <f t="shared" si="18"/>
        <v/>
      </c>
      <c r="AA82" s="146" t="str">
        <f t="shared" si="19"/>
        <v/>
      </c>
      <c r="AB82" s="180"/>
      <c r="AC82" s="156"/>
    </row>
    <row r="83" spans="1:29">
      <c r="A83" t="str">
        <f t="shared" si="20"/>
        <v/>
      </c>
      <c r="B83" t="str">
        <f>Fastest!C83</f>
        <v/>
      </c>
      <c r="C83" t="str">
        <f>Fastest!AB83</f>
        <v/>
      </c>
      <c r="D83" t="str">
        <f>IF(ISNA(Fastest!AC83),"",Fastest!AC83)</f>
        <v/>
      </c>
      <c r="E83" t="str">
        <f t="shared" si="21"/>
        <v/>
      </c>
      <c r="F83" s="95">
        <v>74</v>
      </c>
      <c r="G83" s="174">
        <v>74</v>
      </c>
      <c r="H83" s="175" t="str">
        <f t="shared" si="14"/>
        <v/>
      </c>
      <c r="I83" s="176" t="str">
        <f t="shared" si="15"/>
        <v/>
      </c>
      <c r="J83" s="177"/>
      <c r="K83" s="177"/>
      <c r="L83" s="177"/>
      <c r="M83" s="177"/>
      <c r="N83" s="177"/>
      <c r="O83" s="177"/>
      <c r="P83" s="176" t="str">
        <f t="shared" si="16"/>
        <v/>
      </c>
      <c r="Q83" s="177"/>
      <c r="R83" s="177"/>
      <c r="S83" s="177"/>
      <c r="T83" s="177"/>
      <c r="U83" s="177"/>
      <c r="V83" s="177"/>
      <c r="W83" s="144"/>
      <c r="X83" s="178" t="str">
        <f t="shared" si="17"/>
        <v/>
      </c>
      <c r="Y83" s="179"/>
      <c r="Z83" s="145" t="str">
        <f t="shared" si="18"/>
        <v/>
      </c>
      <c r="AA83" s="146" t="str">
        <f t="shared" si="19"/>
        <v/>
      </c>
      <c r="AB83" s="180"/>
      <c r="AC83" s="156"/>
    </row>
    <row r="84" spans="1:29">
      <c r="A84" t="str">
        <f t="shared" si="20"/>
        <v/>
      </c>
      <c r="B84" t="str">
        <f>Fastest!C84</f>
        <v/>
      </c>
      <c r="C84" t="str">
        <f>Fastest!AB84</f>
        <v/>
      </c>
      <c r="D84" t="str">
        <f>IF(ISNA(Fastest!AC84),"",Fastest!AC84)</f>
        <v/>
      </c>
      <c r="E84" t="str">
        <f t="shared" si="21"/>
        <v/>
      </c>
      <c r="F84" s="95">
        <v>75</v>
      </c>
      <c r="G84" s="174">
        <v>75</v>
      </c>
      <c r="H84" s="175" t="str">
        <f t="shared" si="14"/>
        <v/>
      </c>
      <c r="I84" s="176" t="str">
        <f t="shared" si="15"/>
        <v/>
      </c>
      <c r="J84" s="177"/>
      <c r="K84" s="177"/>
      <c r="L84" s="177"/>
      <c r="M84" s="177"/>
      <c r="N84" s="177"/>
      <c r="O84" s="177"/>
      <c r="P84" s="176" t="str">
        <f t="shared" si="16"/>
        <v/>
      </c>
      <c r="Q84" s="177"/>
      <c r="R84" s="177"/>
      <c r="S84" s="177"/>
      <c r="T84" s="177"/>
      <c r="U84" s="177"/>
      <c r="V84" s="177"/>
      <c r="W84" s="144"/>
      <c r="X84" s="178" t="str">
        <f t="shared" si="17"/>
        <v/>
      </c>
      <c r="Y84" s="179"/>
      <c r="Z84" s="145" t="str">
        <f t="shared" si="18"/>
        <v/>
      </c>
      <c r="AA84" s="146" t="str">
        <f t="shared" si="19"/>
        <v/>
      </c>
      <c r="AB84" s="180"/>
      <c r="AC84" s="156"/>
    </row>
    <row r="85" spans="1:29">
      <c r="A85" t="str">
        <f t="shared" si="20"/>
        <v/>
      </c>
      <c r="B85" t="str">
        <f>Fastest!C85</f>
        <v/>
      </c>
      <c r="C85" t="str">
        <f>Fastest!AB85</f>
        <v/>
      </c>
      <c r="D85" t="str">
        <f>IF(ISNA(Fastest!AC85),"",Fastest!AC85)</f>
        <v/>
      </c>
      <c r="E85" t="str">
        <f t="shared" si="21"/>
        <v/>
      </c>
      <c r="F85" s="95">
        <v>76</v>
      </c>
      <c r="G85" s="174">
        <v>76</v>
      </c>
      <c r="H85" s="175" t="str">
        <f t="shared" si="14"/>
        <v/>
      </c>
      <c r="I85" s="176" t="str">
        <f t="shared" si="15"/>
        <v/>
      </c>
      <c r="J85" s="177"/>
      <c r="K85" s="177"/>
      <c r="L85" s="177"/>
      <c r="M85" s="177"/>
      <c r="N85" s="177"/>
      <c r="O85" s="177"/>
      <c r="P85" s="176" t="str">
        <f t="shared" si="16"/>
        <v/>
      </c>
      <c r="Q85" s="177"/>
      <c r="R85" s="177"/>
      <c r="S85" s="177"/>
      <c r="T85" s="177"/>
      <c r="U85" s="177"/>
      <c r="V85" s="177"/>
      <c r="W85" s="144"/>
      <c r="X85" s="178" t="str">
        <f t="shared" si="17"/>
        <v/>
      </c>
      <c r="Y85" s="179"/>
      <c r="Z85" s="145" t="str">
        <f t="shared" si="18"/>
        <v/>
      </c>
      <c r="AA85" s="146" t="str">
        <f t="shared" si="19"/>
        <v/>
      </c>
      <c r="AB85" s="180"/>
      <c r="AC85" s="156"/>
    </row>
    <row r="86" spans="1:29">
      <c r="A86" t="str">
        <f t="shared" si="20"/>
        <v/>
      </c>
      <c r="B86" t="str">
        <f>Fastest!C86</f>
        <v/>
      </c>
      <c r="C86" t="str">
        <f>Fastest!AB86</f>
        <v/>
      </c>
      <c r="D86" t="str">
        <f>IF(ISNA(Fastest!AC86),"",Fastest!AC86)</f>
        <v/>
      </c>
      <c r="E86" t="str">
        <f t="shared" si="21"/>
        <v/>
      </c>
      <c r="F86" s="95">
        <v>77</v>
      </c>
      <c r="G86" s="174">
        <v>77</v>
      </c>
      <c r="H86" s="175" t="str">
        <f t="shared" si="14"/>
        <v/>
      </c>
      <c r="I86" s="176" t="str">
        <f t="shared" si="15"/>
        <v/>
      </c>
      <c r="J86" s="177"/>
      <c r="K86" s="177"/>
      <c r="L86" s="177"/>
      <c r="M86" s="177"/>
      <c r="N86" s="177"/>
      <c r="O86" s="177"/>
      <c r="P86" s="176" t="str">
        <f t="shared" si="16"/>
        <v/>
      </c>
      <c r="Q86" s="177"/>
      <c r="R86" s="177"/>
      <c r="S86" s="177"/>
      <c r="T86" s="177"/>
      <c r="U86" s="177"/>
      <c r="V86" s="177"/>
      <c r="W86" s="144"/>
      <c r="X86" s="178" t="str">
        <f t="shared" si="17"/>
        <v/>
      </c>
      <c r="Y86" s="179"/>
      <c r="Z86" s="145" t="str">
        <f t="shared" si="18"/>
        <v/>
      </c>
      <c r="AA86" s="146" t="str">
        <f t="shared" si="19"/>
        <v/>
      </c>
      <c r="AB86" s="180"/>
      <c r="AC86" s="156"/>
    </row>
    <row r="87" spans="1:29">
      <c r="A87" t="str">
        <f t="shared" si="20"/>
        <v/>
      </c>
      <c r="B87" t="str">
        <f>Fastest!C87</f>
        <v/>
      </c>
      <c r="C87" t="str">
        <f>Fastest!AB87</f>
        <v/>
      </c>
      <c r="D87" t="str">
        <f>IF(ISNA(Fastest!AC87),"",Fastest!AC87)</f>
        <v/>
      </c>
      <c r="E87" t="str">
        <f t="shared" si="21"/>
        <v/>
      </c>
      <c r="F87" s="95">
        <v>78</v>
      </c>
      <c r="G87" s="174">
        <v>78</v>
      </c>
      <c r="H87" s="175" t="str">
        <f t="shared" si="14"/>
        <v/>
      </c>
      <c r="I87" s="176" t="str">
        <f t="shared" si="15"/>
        <v/>
      </c>
      <c r="J87" s="177"/>
      <c r="K87" s="177"/>
      <c r="L87" s="177"/>
      <c r="M87" s="177"/>
      <c r="N87" s="177"/>
      <c r="O87" s="177"/>
      <c r="P87" s="176" t="str">
        <f t="shared" si="16"/>
        <v/>
      </c>
      <c r="Q87" s="177"/>
      <c r="R87" s="177"/>
      <c r="S87" s="177"/>
      <c r="T87" s="177"/>
      <c r="U87" s="177"/>
      <c r="V87" s="177"/>
      <c r="W87" s="144"/>
      <c r="X87" s="178" t="str">
        <f t="shared" si="17"/>
        <v/>
      </c>
      <c r="Y87" s="179"/>
      <c r="Z87" s="145" t="str">
        <f t="shared" si="18"/>
        <v/>
      </c>
      <c r="AA87" s="146" t="str">
        <f t="shared" si="19"/>
        <v/>
      </c>
      <c r="AB87" s="180"/>
      <c r="AC87" s="156"/>
    </row>
    <row r="88" spans="1:29">
      <c r="A88" t="str">
        <f t="shared" si="20"/>
        <v/>
      </c>
      <c r="B88" t="str">
        <f>Fastest!C88</f>
        <v/>
      </c>
      <c r="C88" t="str">
        <f>Fastest!AB88</f>
        <v/>
      </c>
      <c r="D88" t="str">
        <f>IF(ISNA(Fastest!AC88),"",Fastest!AC88)</f>
        <v/>
      </c>
      <c r="E88" t="str">
        <f t="shared" si="21"/>
        <v/>
      </c>
      <c r="F88" s="95">
        <v>79</v>
      </c>
      <c r="G88" s="174">
        <v>79</v>
      </c>
      <c r="H88" s="175" t="str">
        <f t="shared" si="14"/>
        <v/>
      </c>
      <c r="I88" s="176" t="str">
        <f t="shared" si="15"/>
        <v/>
      </c>
      <c r="J88" s="177"/>
      <c r="K88" s="177"/>
      <c r="L88" s="177"/>
      <c r="M88" s="177"/>
      <c r="N88" s="177"/>
      <c r="O88" s="177"/>
      <c r="P88" s="176" t="str">
        <f t="shared" si="16"/>
        <v/>
      </c>
      <c r="Q88" s="177"/>
      <c r="R88" s="177"/>
      <c r="S88" s="177"/>
      <c r="T88" s="177"/>
      <c r="U88" s="177"/>
      <c r="V88" s="177"/>
      <c r="W88" s="144"/>
      <c r="X88" s="178" t="str">
        <f t="shared" si="17"/>
        <v/>
      </c>
      <c r="Y88" s="179"/>
      <c r="Z88" s="145" t="str">
        <f t="shared" si="18"/>
        <v/>
      </c>
      <c r="AA88" s="146" t="str">
        <f t="shared" si="19"/>
        <v/>
      </c>
      <c r="AB88" s="180"/>
      <c r="AC88" s="156"/>
    </row>
    <row r="89" spans="1:29">
      <c r="A89" t="str">
        <f t="shared" si="20"/>
        <v/>
      </c>
      <c r="B89" t="str">
        <f>Fastest!C89</f>
        <v/>
      </c>
      <c r="C89" t="str">
        <f>Fastest!AB89</f>
        <v/>
      </c>
      <c r="D89" t="str">
        <f>IF(ISNA(Fastest!AC89),"",Fastest!AC89)</f>
        <v/>
      </c>
      <c r="E89" t="str">
        <f t="shared" si="21"/>
        <v/>
      </c>
      <c r="F89" s="95">
        <v>80</v>
      </c>
      <c r="G89" s="174">
        <v>80</v>
      </c>
      <c r="H89" s="175" t="str">
        <f t="shared" si="14"/>
        <v/>
      </c>
      <c r="I89" s="176" t="str">
        <f t="shared" si="15"/>
        <v/>
      </c>
      <c r="J89" s="177"/>
      <c r="K89" s="177"/>
      <c r="L89" s="177"/>
      <c r="M89" s="177"/>
      <c r="N89" s="177"/>
      <c r="O89" s="177"/>
      <c r="P89" s="176" t="str">
        <f t="shared" si="16"/>
        <v/>
      </c>
      <c r="Q89" s="177"/>
      <c r="R89" s="177"/>
      <c r="S89" s="177"/>
      <c r="T89" s="177"/>
      <c r="U89" s="177"/>
      <c r="V89" s="177"/>
      <c r="W89" s="144"/>
      <c r="X89" s="178" t="str">
        <f t="shared" si="17"/>
        <v/>
      </c>
      <c r="Y89" s="179"/>
      <c r="Z89" s="145" t="str">
        <f t="shared" si="18"/>
        <v/>
      </c>
      <c r="AA89" s="146" t="str">
        <f t="shared" si="19"/>
        <v/>
      </c>
      <c r="AB89" s="180"/>
      <c r="AC89" s="156"/>
    </row>
    <row r="90" spans="1:29">
      <c r="A90" t="str">
        <f t="shared" si="20"/>
        <v/>
      </c>
      <c r="B90" t="str">
        <f>Fastest!C90</f>
        <v/>
      </c>
      <c r="C90" t="str">
        <f>Fastest!AB90</f>
        <v/>
      </c>
      <c r="D90" t="str">
        <f>IF(ISNA(Fastest!AC90),"",Fastest!AC90)</f>
        <v/>
      </c>
      <c r="E90" t="str">
        <f t="shared" si="21"/>
        <v/>
      </c>
      <c r="F90" s="95">
        <v>81</v>
      </c>
      <c r="G90" s="174">
        <v>81</v>
      </c>
      <c r="H90" s="175" t="str">
        <f t="shared" si="14"/>
        <v/>
      </c>
      <c r="I90" s="176" t="str">
        <f t="shared" si="15"/>
        <v/>
      </c>
      <c r="J90" s="177"/>
      <c r="K90" s="177"/>
      <c r="L90" s="177"/>
      <c r="M90" s="177"/>
      <c r="N90" s="177"/>
      <c r="O90" s="177"/>
      <c r="P90" s="176" t="str">
        <f t="shared" si="16"/>
        <v/>
      </c>
      <c r="Q90" s="177"/>
      <c r="R90" s="177"/>
      <c r="S90" s="177"/>
      <c r="T90" s="177"/>
      <c r="U90" s="177"/>
      <c r="V90" s="177"/>
      <c r="W90" s="144"/>
      <c r="X90" s="178" t="str">
        <f t="shared" si="17"/>
        <v/>
      </c>
      <c r="Y90" s="179"/>
      <c r="Z90" s="145" t="str">
        <f t="shared" si="18"/>
        <v/>
      </c>
      <c r="AA90" s="146" t="str">
        <f t="shared" si="19"/>
        <v/>
      </c>
      <c r="AB90" s="180"/>
      <c r="AC90" s="156"/>
    </row>
    <row r="91" spans="1:29">
      <c r="A91" t="str">
        <f t="shared" si="20"/>
        <v/>
      </c>
      <c r="B91" t="str">
        <f>Fastest!C91</f>
        <v/>
      </c>
      <c r="C91" t="str">
        <f>Fastest!AB91</f>
        <v/>
      </c>
      <c r="D91" t="str">
        <f>IF(ISNA(Fastest!AC91),"",Fastest!AC91)</f>
        <v/>
      </c>
      <c r="E91" t="str">
        <f t="shared" si="21"/>
        <v/>
      </c>
      <c r="F91" s="95">
        <v>82</v>
      </c>
      <c r="G91" s="174">
        <v>82</v>
      </c>
      <c r="H91" s="175" t="str">
        <f t="shared" si="14"/>
        <v/>
      </c>
      <c r="I91" s="176" t="str">
        <f t="shared" si="15"/>
        <v/>
      </c>
      <c r="J91" s="177"/>
      <c r="K91" s="177"/>
      <c r="L91" s="177"/>
      <c r="M91" s="177"/>
      <c r="N91" s="177"/>
      <c r="O91" s="177"/>
      <c r="P91" s="176" t="str">
        <f t="shared" si="16"/>
        <v/>
      </c>
      <c r="Q91" s="177"/>
      <c r="R91" s="177"/>
      <c r="S91" s="177"/>
      <c r="T91" s="177"/>
      <c r="U91" s="177"/>
      <c r="V91" s="177"/>
      <c r="W91" s="144"/>
      <c r="X91" s="178" t="str">
        <f t="shared" si="17"/>
        <v/>
      </c>
      <c r="Y91" s="179"/>
      <c r="Z91" s="145" t="str">
        <f t="shared" si="18"/>
        <v/>
      </c>
      <c r="AA91" s="146" t="str">
        <f t="shared" si="19"/>
        <v/>
      </c>
      <c r="AB91" s="180"/>
      <c r="AC91" s="156"/>
    </row>
    <row r="92" spans="1:29">
      <c r="A92" t="str">
        <f t="shared" si="20"/>
        <v/>
      </c>
      <c r="B92" t="str">
        <f>Fastest!C92</f>
        <v/>
      </c>
      <c r="C92" t="str">
        <f>Fastest!AB92</f>
        <v/>
      </c>
      <c r="D92" t="str">
        <f>IF(ISNA(Fastest!AC92),"",Fastest!AC92)</f>
        <v/>
      </c>
      <c r="E92" t="str">
        <f t="shared" si="21"/>
        <v/>
      </c>
      <c r="F92" s="95">
        <v>83</v>
      </c>
      <c r="G92" s="174">
        <v>83</v>
      </c>
      <c r="H92" s="175" t="str">
        <f t="shared" si="14"/>
        <v/>
      </c>
      <c r="I92" s="176" t="str">
        <f t="shared" si="15"/>
        <v/>
      </c>
      <c r="J92" s="177"/>
      <c r="K92" s="177"/>
      <c r="L92" s="177"/>
      <c r="M92" s="177"/>
      <c r="N92" s="177"/>
      <c r="O92" s="177"/>
      <c r="P92" s="176" t="str">
        <f t="shared" si="16"/>
        <v/>
      </c>
      <c r="Q92" s="177"/>
      <c r="R92" s="177"/>
      <c r="S92" s="177"/>
      <c r="T92" s="177"/>
      <c r="U92" s="177"/>
      <c r="V92" s="177"/>
      <c r="W92" s="144"/>
      <c r="X92" s="178" t="str">
        <f t="shared" si="17"/>
        <v/>
      </c>
      <c r="Y92" s="179"/>
      <c r="Z92" s="145" t="str">
        <f t="shared" si="18"/>
        <v/>
      </c>
      <c r="AA92" s="146" t="str">
        <f t="shared" si="19"/>
        <v/>
      </c>
      <c r="AB92" s="180"/>
      <c r="AC92" s="156"/>
    </row>
    <row r="93" spans="1:29">
      <c r="A93" t="str">
        <f t="shared" si="20"/>
        <v/>
      </c>
      <c r="B93" t="str">
        <f>Fastest!C93</f>
        <v/>
      </c>
      <c r="C93" t="str">
        <f>Fastest!AB93</f>
        <v/>
      </c>
      <c r="D93" t="str">
        <f>IF(ISNA(Fastest!AC93),"",Fastest!AC93)</f>
        <v/>
      </c>
      <c r="E93" t="str">
        <f t="shared" si="21"/>
        <v/>
      </c>
      <c r="F93" s="95">
        <v>84</v>
      </c>
      <c r="G93" s="174">
        <v>84</v>
      </c>
      <c r="H93" s="175" t="str">
        <f t="shared" si="14"/>
        <v/>
      </c>
      <c r="I93" s="176" t="str">
        <f t="shared" si="15"/>
        <v/>
      </c>
      <c r="J93" s="177"/>
      <c r="K93" s="177"/>
      <c r="L93" s="177"/>
      <c r="M93" s="177"/>
      <c r="N93" s="177"/>
      <c r="O93" s="177"/>
      <c r="P93" s="176" t="str">
        <f t="shared" si="16"/>
        <v/>
      </c>
      <c r="Q93" s="177"/>
      <c r="R93" s="177"/>
      <c r="S93" s="177"/>
      <c r="T93" s="177"/>
      <c r="U93" s="177"/>
      <c r="V93" s="177"/>
      <c r="W93" s="144"/>
      <c r="X93" s="178" t="str">
        <f t="shared" si="17"/>
        <v/>
      </c>
      <c r="Y93" s="179"/>
      <c r="Z93" s="145" t="str">
        <f t="shared" si="18"/>
        <v/>
      </c>
      <c r="AA93" s="146" t="str">
        <f t="shared" si="19"/>
        <v/>
      </c>
      <c r="AB93" s="180"/>
      <c r="AC93" s="156"/>
    </row>
    <row r="94" spans="1:29">
      <c r="A94" t="str">
        <f t="shared" si="20"/>
        <v/>
      </c>
      <c r="B94" t="str">
        <f>Fastest!C94</f>
        <v/>
      </c>
      <c r="C94" t="str">
        <f>Fastest!AB94</f>
        <v/>
      </c>
      <c r="D94" t="str">
        <f>IF(ISNA(Fastest!AC94),"",Fastest!AC94)</f>
        <v/>
      </c>
      <c r="E94" t="str">
        <f t="shared" si="21"/>
        <v/>
      </c>
      <c r="F94" s="95">
        <v>85</v>
      </c>
      <c r="G94" s="174">
        <v>85</v>
      </c>
      <c r="H94" s="175" t="str">
        <f t="shared" si="14"/>
        <v/>
      </c>
      <c r="I94" s="176" t="str">
        <f t="shared" si="15"/>
        <v/>
      </c>
      <c r="J94" s="177"/>
      <c r="K94" s="177"/>
      <c r="L94" s="177"/>
      <c r="M94" s="177"/>
      <c r="N94" s="177"/>
      <c r="O94" s="177"/>
      <c r="P94" s="176" t="str">
        <f t="shared" si="16"/>
        <v/>
      </c>
      <c r="Q94" s="177"/>
      <c r="R94" s="177"/>
      <c r="S94" s="177"/>
      <c r="T94" s="177"/>
      <c r="U94" s="177"/>
      <c r="V94" s="177"/>
      <c r="W94" s="144"/>
      <c r="X94" s="178" t="str">
        <f t="shared" si="17"/>
        <v/>
      </c>
      <c r="Y94" s="179"/>
      <c r="Z94" s="145" t="str">
        <f t="shared" si="18"/>
        <v/>
      </c>
      <c r="AA94" s="146" t="str">
        <f t="shared" si="19"/>
        <v/>
      </c>
      <c r="AB94" s="180"/>
      <c r="AC94" s="156"/>
    </row>
    <row r="95" spans="1:29">
      <c r="A95" t="str">
        <f t="shared" si="20"/>
        <v/>
      </c>
      <c r="B95" t="str">
        <f>Fastest!C95</f>
        <v/>
      </c>
      <c r="C95" t="str">
        <f>Fastest!AB95</f>
        <v/>
      </c>
      <c r="D95" t="str">
        <f>IF(ISNA(Fastest!AC95),"",Fastest!AC95)</f>
        <v/>
      </c>
      <c r="E95" t="str">
        <f t="shared" si="21"/>
        <v/>
      </c>
      <c r="F95" s="95">
        <v>86</v>
      </c>
      <c r="G95" s="174">
        <v>86</v>
      </c>
      <c r="H95" s="175" t="str">
        <f t="shared" si="14"/>
        <v/>
      </c>
      <c r="I95" s="176" t="str">
        <f t="shared" si="15"/>
        <v/>
      </c>
      <c r="J95" s="177"/>
      <c r="K95" s="177"/>
      <c r="L95" s="177"/>
      <c r="M95" s="177"/>
      <c r="N95" s="177"/>
      <c r="O95" s="177"/>
      <c r="P95" s="176" t="str">
        <f t="shared" si="16"/>
        <v/>
      </c>
      <c r="Q95" s="177"/>
      <c r="R95" s="177"/>
      <c r="S95" s="177"/>
      <c r="T95" s="177"/>
      <c r="U95" s="177"/>
      <c r="V95" s="177"/>
      <c r="W95" s="144"/>
      <c r="X95" s="178" t="str">
        <f t="shared" si="17"/>
        <v/>
      </c>
      <c r="Y95" s="179"/>
      <c r="Z95" s="145" t="str">
        <f t="shared" si="18"/>
        <v/>
      </c>
      <c r="AA95" s="146" t="str">
        <f t="shared" si="19"/>
        <v/>
      </c>
      <c r="AB95" s="180"/>
      <c r="AC95" s="156"/>
    </row>
    <row r="96" spans="1:29">
      <c r="A96" t="str">
        <f t="shared" si="20"/>
        <v/>
      </c>
      <c r="B96" t="str">
        <f>Fastest!C96</f>
        <v/>
      </c>
      <c r="C96" t="str">
        <f>Fastest!AB96</f>
        <v/>
      </c>
      <c r="D96" t="str">
        <f>IF(ISNA(Fastest!AC96),"",Fastest!AC96)</f>
        <v/>
      </c>
      <c r="E96" t="str">
        <f t="shared" si="21"/>
        <v/>
      </c>
      <c r="F96" s="95">
        <v>87</v>
      </c>
      <c r="G96" s="174">
        <v>87</v>
      </c>
      <c r="H96" s="175" t="str">
        <f t="shared" si="14"/>
        <v/>
      </c>
      <c r="I96" s="176" t="str">
        <f t="shared" si="15"/>
        <v/>
      </c>
      <c r="J96" s="177"/>
      <c r="K96" s="177"/>
      <c r="L96" s="177"/>
      <c r="M96" s="177"/>
      <c r="N96" s="177"/>
      <c r="O96" s="177"/>
      <c r="P96" s="176" t="str">
        <f t="shared" si="16"/>
        <v/>
      </c>
      <c r="Q96" s="177"/>
      <c r="R96" s="177"/>
      <c r="S96" s="177"/>
      <c r="T96" s="177"/>
      <c r="U96" s="177"/>
      <c r="V96" s="177"/>
      <c r="W96" s="144"/>
      <c r="X96" s="178" t="str">
        <f t="shared" si="17"/>
        <v/>
      </c>
      <c r="Y96" s="179"/>
      <c r="Z96" s="145" t="str">
        <f t="shared" si="18"/>
        <v/>
      </c>
      <c r="AA96" s="146" t="str">
        <f t="shared" si="19"/>
        <v/>
      </c>
      <c r="AB96" s="180"/>
      <c r="AC96" s="156"/>
    </row>
    <row r="97" spans="1:29">
      <c r="A97" t="str">
        <f t="shared" si="20"/>
        <v/>
      </c>
      <c r="B97" t="str">
        <f>Fastest!C97</f>
        <v/>
      </c>
      <c r="C97" t="str">
        <f>Fastest!AB97</f>
        <v/>
      </c>
      <c r="D97" t="str">
        <f>IF(ISNA(Fastest!AC97),"",Fastest!AC97)</f>
        <v/>
      </c>
      <c r="E97" t="str">
        <f t="shared" si="21"/>
        <v/>
      </c>
      <c r="F97" s="95">
        <v>88</v>
      </c>
      <c r="G97" s="174">
        <v>88</v>
      </c>
      <c r="H97" s="175" t="str">
        <f t="shared" si="14"/>
        <v/>
      </c>
      <c r="I97" s="176" t="str">
        <f t="shared" si="15"/>
        <v/>
      </c>
      <c r="J97" s="177"/>
      <c r="K97" s="177"/>
      <c r="L97" s="177"/>
      <c r="M97" s="177"/>
      <c r="N97" s="177"/>
      <c r="O97" s="177"/>
      <c r="P97" s="176" t="str">
        <f t="shared" si="16"/>
        <v/>
      </c>
      <c r="Q97" s="177"/>
      <c r="R97" s="177"/>
      <c r="S97" s="177"/>
      <c r="T97" s="177"/>
      <c r="U97" s="177"/>
      <c r="V97" s="177"/>
      <c r="W97" s="144"/>
      <c r="X97" s="178" t="str">
        <f t="shared" si="17"/>
        <v/>
      </c>
      <c r="Y97" s="179"/>
      <c r="Z97" s="145" t="str">
        <f t="shared" si="18"/>
        <v/>
      </c>
      <c r="AA97" s="146" t="str">
        <f t="shared" si="19"/>
        <v/>
      </c>
      <c r="AB97" s="180"/>
      <c r="AC97" s="156"/>
    </row>
    <row r="98" spans="1:29">
      <c r="A98" t="str">
        <f t="shared" si="20"/>
        <v/>
      </c>
      <c r="B98" t="str">
        <f>Fastest!C98</f>
        <v/>
      </c>
      <c r="C98" t="str">
        <f>Fastest!AB98</f>
        <v/>
      </c>
      <c r="D98" t="str">
        <f>IF(ISNA(Fastest!AC98),"",Fastest!AC98)</f>
        <v/>
      </c>
      <c r="E98" t="str">
        <f t="shared" si="21"/>
        <v/>
      </c>
      <c r="F98" s="95">
        <v>89</v>
      </c>
      <c r="G98" s="174">
        <v>89</v>
      </c>
      <c r="H98" s="175" t="str">
        <f t="shared" si="14"/>
        <v/>
      </c>
      <c r="I98" s="176" t="str">
        <f t="shared" si="15"/>
        <v/>
      </c>
      <c r="J98" s="177"/>
      <c r="K98" s="177"/>
      <c r="L98" s="177"/>
      <c r="M98" s="177"/>
      <c r="N98" s="177"/>
      <c r="O98" s="177"/>
      <c r="P98" s="176" t="str">
        <f t="shared" si="16"/>
        <v/>
      </c>
      <c r="Q98" s="177"/>
      <c r="R98" s="177"/>
      <c r="S98" s="177"/>
      <c r="T98" s="177"/>
      <c r="U98" s="177"/>
      <c r="V98" s="177"/>
      <c r="W98" s="144"/>
      <c r="X98" s="178" t="str">
        <f t="shared" si="17"/>
        <v/>
      </c>
      <c r="Y98" s="179"/>
      <c r="Z98" s="145" t="str">
        <f t="shared" si="18"/>
        <v/>
      </c>
      <c r="AA98" s="146" t="str">
        <f t="shared" si="19"/>
        <v/>
      </c>
      <c r="AB98" s="180"/>
      <c r="AC98" s="156"/>
    </row>
    <row r="99" spans="1:29">
      <c r="A99" t="str">
        <f t="shared" si="20"/>
        <v/>
      </c>
      <c r="B99" t="str">
        <f>Fastest!C99</f>
        <v/>
      </c>
      <c r="C99" t="str">
        <f>Fastest!AB99</f>
        <v/>
      </c>
      <c r="D99" t="str">
        <f>IF(ISNA(Fastest!AC99),"",Fastest!AC99)</f>
        <v/>
      </c>
      <c r="E99" t="str">
        <f t="shared" si="21"/>
        <v/>
      </c>
      <c r="F99" s="95">
        <v>90</v>
      </c>
      <c r="G99" s="174">
        <v>90</v>
      </c>
      <c r="H99" s="175" t="str">
        <f t="shared" si="14"/>
        <v/>
      </c>
      <c r="I99" s="176" t="str">
        <f t="shared" si="15"/>
        <v/>
      </c>
      <c r="J99" s="177"/>
      <c r="K99" s="177"/>
      <c r="L99" s="177"/>
      <c r="M99" s="177"/>
      <c r="N99" s="177"/>
      <c r="O99" s="177"/>
      <c r="P99" s="176" t="str">
        <f t="shared" si="16"/>
        <v/>
      </c>
      <c r="Q99" s="177"/>
      <c r="R99" s="177"/>
      <c r="S99" s="177"/>
      <c r="T99" s="177"/>
      <c r="U99" s="177"/>
      <c r="V99" s="177"/>
      <c r="W99" s="144"/>
      <c r="X99" s="178" t="str">
        <f t="shared" si="17"/>
        <v/>
      </c>
      <c r="Y99" s="179"/>
      <c r="Z99" s="145" t="str">
        <f t="shared" si="18"/>
        <v/>
      </c>
      <c r="AA99" s="146" t="str">
        <f t="shared" si="19"/>
        <v/>
      </c>
      <c r="AB99" s="180"/>
      <c r="AC99" s="156"/>
    </row>
    <row r="100" spans="1:29">
      <c r="A100" t="str">
        <f t="shared" si="20"/>
        <v/>
      </c>
      <c r="B100" t="str">
        <f>Fastest!C100</f>
        <v/>
      </c>
      <c r="C100" t="str">
        <f>Fastest!AB100</f>
        <v/>
      </c>
      <c r="D100" t="str">
        <f>IF(ISNA(Fastest!AC100),"",Fastest!AC100)</f>
        <v/>
      </c>
      <c r="E100" t="str">
        <f t="shared" si="21"/>
        <v/>
      </c>
      <c r="F100" s="95">
        <v>91</v>
      </c>
      <c r="G100" s="174">
        <v>91</v>
      </c>
      <c r="H100" s="175" t="str">
        <f t="shared" si="14"/>
        <v/>
      </c>
      <c r="I100" s="176" t="str">
        <f t="shared" si="15"/>
        <v/>
      </c>
      <c r="J100" s="177"/>
      <c r="K100" s="177"/>
      <c r="L100" s="177"/>
      <c r="M100" s="177"/>
      <c r="N100" s="177"/>
      <c r="O100" s="177"/>
      <c r="P100" s="176" t="str">
        <f t="shared" si="16"/>
        <v/>
      </c>
      <c r="Q100" s="177"/>
      <c r="R100" s="177"/>
      <c r="S100" s="177"/>
      <c r="T100" s="177"/>
      <c r="U100" s="177"/>
      <c r="V100" s="177"/>
      <c r="W100" s="144"/>
      <c r="X100" s="178" t="str">
        <f t="shared" si="17"/>
        <v/>
      </c>
      <c r="Y100" s="179"/>
      <c r="Z100" s="145" t="str">
        <f t="shared" si="18"/>
        <v/>
      </c>
      <c r="AA100" s="146" t="str">
        <f t="shared" si="19"/>
        <v/>
      </c>
      <c r="AB100" s="180"/>
      <c r="AC100" s="156"/>
    </row>
    <row r="101" spans="1:29">
      <c r="A101" t="str">
        <f t="shared" si="20"/>
        <v/>
      </c>
      <c r="B101" t="str">
        <f>Fastest!C101</f>
        <v/>
      </c>
      <c r="C101" t="str">
        <f>Fastest!AB101</f>
        <v/>
      </c>
      <c r="D101" t="str">
        <f>IF(ISNA(Fastest!AC101),"",Fastest!AC101)</f>
        <v/>
      </c>
      <c r="E101" t="str">
        <f t="shared" si="21"/>
        <v/>
      </c>
      <c r="F101" s="95">
        <v>92</v>
      </c>
      <c r="G101" s="174">
        <v>92</v>
      </c>
      <c r="H101" s="175" t="str">
        <f t="shared" si="14"/>
        <v/>
      </c>
      <c r="I101" s="176" t="str">
        <f t="shared" si="15"/>
        <v/>
      </c>
      <c r="J101" s="177"/>
      <c r="K101" s="177"/>
      <c r="L101" s="177"/>
      <c r="M101" s="177"/>
      <c r="N101" s="177"/>
      <c r="O101" s="177"/>
      <c r="P101" s="176" t="str">
        <f t="shared" si="16"/>
        <v/>
      </c>
      <c r="Q101" s="177"/>
      <c r="R101" s="177"/>
      <c r="S101" s="177"/>
      <c r="T101" s="177"/>
      <c r="U101" s="177"/>
      <c r="V101" s="177"/>
      <c r="W101" s="144"/>
      <c r="X101" s="178" t="str">
        <f t="shared" si="17"/>
        <v/>
      </c>
      <c r="Y101" s="179"/>
      <c r="Z101" s="145" t="str">
        <f t="shared" si="18"/>
        <v/>
      </c>
      <c r="AA101" s="146" t="str">
        <f t="shared" si="19"/>
        <v/>
      </c>
      <c r="AB101" s="180"/>
      <c r="AC101" s="156"/>
    </row>
    <row r="102" spans="1:29">
      <c r="A102" t="str">
        <f t="shared" si="20"/>
        <v/>
      </c>
      <c r="B102" t="str">
        <f>Fastest!C102</f>
        <v/>
      </c>
      <c r="C102" t="str">
        <f>Fastest!AB102</f>
        <v/>
      </c>
      <c r="D102" t="str">
        <f>IF(ISNA(Fastest!AC102),"",Fastest!AC102)</f>
        <v/>
      </c>
      <c r="E102" t="str">
        <f t="shared" si="21"/>
        <v/>
      </c>
      <c r="F102" s="95">
        <v>93</v>
      </c>
      <c r="G102" s="174">
        <v>93</v>
      </c>
      <c r="H102" s="175" t="str">
        <f t="shared" si="14"/>
        <v/>
      </c>
      <c r="I102" s="176" t="str">
        <f t="shared" si="15"/>
        <v/>
      </c>
      <c r="J102" s="177"/>
      <c r="K102" s="177"/>
      <c r="L102" s="177"/>
      <c r="M102" s="177"/>
      <c r="N102" s="177"/>
      <c r="O102" s="177"/>
      <c r="P102" s="176" t="str">
        <f t="shared" si="16"/>
        <v/>
      </c>
      <c r="Q102" s="177"/>
      <c r="R102" s="177"/>
      <c r="S102" s="177"/>
      <c r="T102" s="177"/>
      <c r="U102" s="177"/>
      <c r="V102" s="177"/>
      <c r="W102" s="144"/>
      <c r="X102" s="178" t="str">
        <f t="shared" si="17"/>
        <v/>
      </c>
      <c r="Y102" s="179"/>
      <c r="Z102" s="145" t="str">
        <f t="shared" si="18"/>
        <v/>
      </c>
      <c r="AA102" s="146" t="str">
        <f t="shared" si="19"/>
        <v/>
      </c>
      <c r="AB102" s="180"/>
      <c r="AC102" s="156"/>
    </row>
    <row r="103" spans="1:29">
      <c r="A103" t="str">
        <f t="shared" si="20"/>
        <v/>
      </c>
      <c r="B103" t="str">
        <f>Fastest!C103</f>
        <v/>
      </c>
      <c r="C103" t="str">
        <f>Fastest!AB103</f>
        <v/>
      </c>
      <c r="D103" t="str">
        <f>IF(ISNA(Fastest!AC103),"",Fastest!AC103)</f>
        <v/>
      </c>
      <c r="E103" t="str">
        <f t="shared" si="21"/>
        <v/>
      </c>
      <c r="F103" s="95">
        <v>94</v>
      </c>
      <c r="G103" s="174">
        <v>94</v>
      </c>
      <c r="H103" s="175" t="str">
        <f t="shared" si="14"/>
        <v/>
      </c>
      <c r="I103" s="176" t="str">
        <f t="shared" si="15"/>
        <v/>
      </c>
      <c r="J103" s="177"/>
      <c r="K103" s="177"/>
      <c r="L103" s="177"/>
      <c r="M103" s="177"/>
      <c r="N103" s="177"/>
      <c r="O103" s="177"/>
      <c r="P103" s="176" t="str">
        <f t="shared" si="16"/>
        <v/>
      </c>
      <c r="Q103" s="177"/>
      <c r="R103" s="177"/>
      <c r="S103" s="177"/>
      <c r="T103" s="177"/>
      <c r="U103" s="177"/>
      <c r="V103" s="177"/>
      <c r="W103" s="144"/>
      <c r="X103" s="178" t="str">
        <f t="shared" si="17"/>
        <v/>
      </c>
      <c r="Y103" s="179"/>
      <c r="Z103" s="145" t="str">
        <f t="shared" si="18"/>
        <v/>
      </c>
      <c r="AA103" s="146" t="str">
        <f t="shared" si="19"/>
        <v/>
      </c>
      <c r="AB103" s="180"/>
      <c r="AC103" s="156"/>
    </row>
    <row r="104" spans="1:29">
      <c r="A104" t="str">
        <f t="shared" si="20"/>
        <v/>
      </c>
      <c r="B104" t="str">
        <f>Fastest!C104</f>
        <v/>
      </c>
      <c r="C104" t="str">
        <f>Fastest!AB104</f>
        <v/>
      </c>
      <c r="D104" t="str">
        <f>IF(ISNA(Fastest!AC104),"",Fastest!AC104)</f>
        <v/>
      </c>
      <c r="E104" t="str">
        <f t="shared" si="21"/>
        <v/>
      </c>
      <c r="F104" s="95">
        <v>95</v>
      </c>
      <c r="G104" s="174">
        <v>95</v>
      </c>
      <c r="H104" s="175" t="str">
        <f t="shared" si="14"/>
        <v/>
      </c>
      <c r="I104" s="176" t="str">
        <f t="shared" si="15"/>
        <v/>
      </c>
      <c r="J104" s="177"/>
      <c r="K104" s="177"/>
      <c r="L104" s="177"/>
      <c r="M104" s="177"/>
      <c r="N104" s="177"/>
      <c r="O104" s="177"/>
      <c r="P104" s="176" t="str">
        <f t="shared" si="16"/>
        <v/>
      </c>
      <c r="Q104" s="177"/>
      <c r="R104" s="177"/>
      <c r="S104" s="177"/>
      <c r="T104" s="177"/>
      <c r="U104" s="177"/>
      <c r="V104" s="177"/>
      <c r="W104" s="144"/>
      <c r="X104" s="178" t="str">
        <f t="shared" si="17"/>
        <v/>
      </c>
      <c r="Y104" s="179"/>
      <c r="Z104" s="145" t="str">
        <f t="shared" si="18"/>
        <v/>
      </c>
      <c r="AA104" s="146" t="str">
        <f t="shared" si="19"/>
        <v/>
      </c>
      <c r="AB104" s="180"/>
      <c r="AC104" s="156"/>
    </row>
    <row r="105" spans="1:29">
      <c r="A105" t="str">
        <f t="shared" si="20"/>
        <v/>
      </c>
      <c r="B105" t="str">
        <f>Fastest!C105</f>
        <v/>
      </c>
      <c r="C105" t="str">
        <f>Fastest!AB105</f>
        <v/>
      </c>
      <c r="D105" t="str">
        <f>IF(ISNA(Fastest!AC105),"",Fastest!AC105)</f>
        <v/>
      </c>
      <c r="E105" t="str">
        <f t="shared" si="21"/>
        <v/>
      </c>
      <c r="F105" s="95">
        <v>96</v>
      </c>
      <c r="G105" s="174">
        <v>96</v>
      </c>
      <c r="H105" s="175" t="str">
        <f t="shared" si="14"/>
        <v/>
      </c>
      <c r="I105" s="176" t="str">
        <f t="shared" si="15"/>
        <v/>
      </c>
      <c r="J105" s="177"/>
      <c r="K105" s="177"/>
      <c r="L105" s="177"/>
      <c r="M105" s="177"/>
      <c r="N105" s="177"/>
      <c r="O105" s="177"/>
      <c r="P105" s="176" t="str">
        <f t="shared" si="16"/>
        <v/>
      </c>
      <c r="Q105" s="177"/>
      <c r="R105" s="177"/>
      <c r="S105" s="177"/>
      <c r="T105" s="177"/>
      <c r="U105" s="177"/>
      <c r="V105" s="177"/>
      <c r="W105" s="144"/>
      <c r="X105" s="178" t="str">
        <f t="shared" si="17"/>
        <v/>
      </c>
      <c r="Y105" s="179"/>
      <c r="Z105" s="145" t="str">
        <f t="shared" si="18"/>
        <v/>
      </c>
      <c r="AA105" s="146" t="str">
        <f t="shared" si="19"/>
        <v/>
      </c>
      <c r="AB105" s="180"/>
      <c r="AC105" s="156"/>
    </row>
    <row r="106" spans="1:29">
      <c r="A106" t="str">
        <f t="shared" si="20"/>
        <v/>
      </c>
      <c r="B106" t="str">
        <f>Fastest!C106</f>
        <v/>
      </c>
      <c r="C106" t="str">
        <f>Fastest!AB106</f>
        <v/>
      </c>
      <c r="D106" t="str">
        <f>IF(ISNA(Fastest!AC106),"",Fastest!AC106)</f>
        <v/>
      </c>
      <c r="E106" t="str">
        <f t="shared" si="21"/>
        <v/>
      </c>
      <c r="F106" s="95">
        <v>97</v>
      </c>
      <c r="G106" s="174">
        <v>97</v>
      </c>
      <c r="H106" s="175" t="str">
        <f t="shared" ref="H106:H137" si="22">IF(IF(ISNA(VLOOKUP($F106,Vet,2,FALSE)),"",VLOOKUP($F106,Vet,2,FALSE))=0,"",IF(ISNA(VLOOKUP($F106,Vet,2,FALSE)),"",VLOOKUP($F106,Vet,2,FALSE)))</f>
        <v/>
      </c>
      <c r="I106" s="176" t="str">
        <f t="shared" ref="I106:I137" si="23">IF(IF(ISNA(VLOOKUP($H106,Field,2,FALSE)),"",VLOOKUP($H106,Field,2,FALSE))=0,"",IF(ISNA(VLOOKUP($H106,Field,2,FALSE)),"",VLOOKUP($H106,Field,2,FALSE)))</f>
        <v/>
      </c>
      <c r="J106" s="177"/>
      <c r="K106" s="177"/>
      <c r="L106" s="177"/>
      <c r="M106" s="177"/>
      <c r="N106" s="177"/>
      <c r="O106" s="177"/>
      <c r="P106" s="176" t="str">
        <f t="shared" ref="P106:P137" si="24">IF(IF(ISNA(VLOOKUP($H106,Field,3,FALSE)),"",VLOOKUP($H106,Field,3,FALSE))=0,"",IF(ISNA(VLOOKUP($H106,Field,3,FALSE)),"",VLOOKUP($H106,Field,3,FALSE)))</f>
        <v/>
      </c>
      <c r="Q106" s="177"/>
      <c r="R106" s="177"/>
      <c r="S106" s="177"/>
      <c r="T106" s="177"/>
      <c r="U106" s="177"/>
      <c r="V106" s="177"/>
      <c r="W106" s="144"/>
      <c r="X106" s="178" t="str">
        <f t="shared" ref="X106:X137" si="25">IF(IF(ISNA(VLOOKUP($H106,Field,5,FALSE)),"",VLOOKUP($H106,Field,5,FALSE))=0,"",IF(ISNA(VLOOKUP($H106,Field,5,FALSE)),"",VLOOKUP($H106,Field,5,FALSE)))</f>
        <v/>
      </c>
      <c r="Y106" s="179"/>
      <c r="Z106" s="145" t="str">
        <f t="shared" ref="Z106:Z137" si="26">IF(IF(ISNA(VLOOKUP($H106,Field,14,FALSE)),"",VLOOKUP($H106,Field,14,FALSE))=0,"",IF(ISNA(VLOOKUP($H106,Field,14,FALSE)),"",VLOOKUP($H106,Field,14,FALSE)))</f>
        <v/>
      </c>
      <c r="AA106" s="146" t="str">
        <f t="shared" ref="AA106:AA137" si="27">IF(IF(ISNA(VLOOKUP($H106,Field,15,FALSE)),"",VLOOKUP($H106,Field,15,FALSE))=0,"",IF(ISNA(VLOOKUP($H106,Field,15,FALSE)),"",VLOOKUP($H106,Field,15,FALSE)))</f>
        <v/>
      </c>
      <c r="AB106" s="180"/>
      <c r="AC106" s="156"/>
    </row>
    <row r="107" spans="1:29">
      <c r="A107" t="str">
        <f t="shared" si="20"/>
        <v/>
      </c>
      <c r="B107" t="str">
        <f>Fastest!C107</f>
        <v/>
      </c>
      <c r="C107" t="str">
        <f>Fastest!AB107</f>
        <v/>
      </c>
      <c r="D107" t="str">
        <f>IF(ISNA(Fastest!AC107),"",Fastest!AC107)</f>
        <v/>
      </c>
      <c r="E107" t="str">
        <f t="shared" si="21"/>
        <v/>
      </c>
      <c r="F107" s="95">
        <v>98</v>
      </c>
      <c r="G107" s="174">
        <v>98</v>
      </c>
      <c r="H107" s="175" t="str">
        <f t="shared" si="22"/>
        <v/>
      </c>
      <c r="I107" s="176" t="str">
        <f t="shared" si="23"/>
        <v/>
      </c>
      <c r="J107" s="177"/>
      <c r="K107" s="177"/>
      <c r="L107" s="177"/>
      <c r="M107" s="177"/>
      <c r="N107" s="177"/>
      <c r="O107" s="177"/>
      <c r="P107" s="176" t="str">
        <f t="shared" si="24"/>
        <v/>
      </c>
      <c r="Q107" s="177"/>
      <c r="R107" s="177"/>
      <c r="S107" s="177"/>
      <c r="T107" s="177"/>
      <c r="U107" s="177"/>
      <c r="V107" s="177"/>
      <c r="W107" s="144"/>
      <c r="X107" s="178" t="str">
        <f t="shared" si="25"/>
        <v/>
      </c>
      <c r="Y107" s="179"/>
      <c r="Z107" s="145" t="str">
        <f t="shared" si="26"/>
        <v/>
      </c>
      <c r="AA107" s="146" t="str">
        <f t="shared" si="27"/>
        <v/>
      </c>
      <c r="AB107" s="180"/>
      <c r="AC107" s="156"/>
    </row>
    <row r="108" spans="1:29">
      <c r="A108" t="str">
        <f t="shared" si="20"/>
        <v/>
      </c>
      <c r="B108" t="str">
        <f>Fastest!C108</f>
        <v/>
      </c>
      <c r="C108" t="str">
        <f>Fastest!AB108</f>
        <v/>
      </c>
      <c r="D108" t="str">
        <f>IF(ISNA(Fastest!AC108),"",Fastest!AC108)</f>
        <v/>
      </c>
      <c r="E108" t="str">
        <f t="shared" si="21"/>
        <v/>
      </c>
      <c r="F108" s="95">
        <v>99</v>
      </c>
      <c r="G108" s="174">
        <v>99</v>
      </c>
      <c r="H108" s="175" t="str">
        <f t="shared" si="22"/>
        <v/>
      </c>
      <c r="I108" s="176" t="str">
        <f t="shared" si="23"/>
        <v/>
      </c>
      <c r="J108" s="177"/>
      <c r="K108" s="177"/>
      <c r="L108" s="177"/>
      <c r="M108" s="177"/>
      <c r="N108" s="177"/>
      <c r="O108" s="177"/>
      <c r="P108" s="176" t="str">
        <f t="shared" si="24"/>
        <v/>
      </c>
      <c r="Q108" s="177"/>
      <c r="R108" s="177"/>
      <c r="S108" s="177"/>
      <c r="T108" s="177"/>
      <c r="U108" s="177"/>
      <c r="V108" s="177"/>
      <c r="W108" s="144"/>
      <c r="X108" s="178" t="str">
        <f t="shared" si="25"/>
        <v/>
      </c>
      <c r="Y108" s="179"/>
      <c r="Z108" s="145" t="str">
        <f t="shared" si="26"/>
        <v/>
      </c>
      <c r="AA108" s="146" t="str">
        <f t="shared" si="27"/>
        <v/>
      </c>
      <c r="AB108" s="180"/>
      <c r="AC108" s="156"/>
    </row>
    <row r="109" spans="1:29">
      <c r="A109" t="str">
        <f t="shared" si="20"/>
        <v/>
      </c>
      <c r="B109" t="str">
        <f>Fastest!C109</f>
        <v/>
      </c>
      <c r="C109" t="str">
        <f>Fastest!AB109</f>
        <v/>
      </c>
      <c r="D109" t="str">
        <f>IF(ISNA(Fastest!AC109),"",Fastest!AC109)</f>
        <v/>
      </c>
      <c r="E109" t="str">
        <f t="shared" si="21"/>
        <v/>
      </c>
      <c r="F109" s="95">
        <v>100</v>
      </c>
      <c r="G109" s="174">
        <v>100</v>
      </c>
      <c r="H109" s="175" t="str">
        <f t="shared" si="22"/>
        <v/>
      </c>
      <c r="I109" s="176" t="str">
        <f t="shared" si="23"/>
        <v/>
      </c>
      <c r="J109" s="177"/>
      <c r="K109" s="177"/>
      <c r="L109" s="177"/>
      <c r="M109" s="177"/>
      <c r="N109" s="177"/>
      <c r="O109" s="177"/>
      <c r="P109" s="176" t="str">
        <f t="shared" si="24"/>
        <v/>
      </c>
      <c r="Q109" s="177"/>
      <c r="R109" s="177"/>
      <c r="S109" s="177"/>
      <c r="T109" s="177"/>
      <c r="U109" s="177"/>
      <c r="V109" s="177"/>
      <c r="W109" s="144"/>
      <c r="X109" s="178" t="str">
        <f t="shared" si="25"/>
        <v/>
      </c>
      <c r="Y109" s="179"/>
      <c r="Z109" s="145" t="str">
        <f t="shared" si="26"/>
        <v/>
      </c>
      <c r="AA109" s="146" t="str">
        <f t="shared" si="27"/>
        <v/>
      </c>
      <c r="AB109" s="180"/>
      <c r="AC109" s="156"/>
    </row>
    <row r="110" spans="1:29">
      <c r="A110" t="str">
        <f t="shared" si="20"/>
        <v/>
      </c>
      <c r="B110" t="str">
        <f>Fastest!C110</f>
        <v/>
      </c>
      <c r="C110" t="str">
        <f>Fastest!AB110</f>
        <v/>
      </c>
      <c r="D110" t="str">
        <f>IF(ISNA(Fastest!AC110),"",Fastest!AC110)</f>
        <v/>
      </c>
      <c r="E110" t="str">
        <f t="shared" si="21"/>
        <v/>
      </c>
      <c r="F110" s="95">
        <v>101</v>
      </c>
      <c r="G110" s="174">
        <v>101</v>
      </c>
      <c r="H110" s="175" t="str">
        <f t="shared" si="22"/>
        <v/>
      </c>
      <c r="I110" s="176" t="str">
        <f t="shared" si="23"/>
        <v/>
      </c>
      <c r="J110" s="177"/>
      <c r="K110" s="177"/>
      <c r="L110" s="177"/>
      <c r="M110" s="177"/>
      <c r="N110" s="177"/>
      <c r="O110" s="177"/>
      <c r="P110" s="176" t="str">
        <f t="shared" si="24"/>
        <v/>
      </c>
      <c r="Q110" s="177"/>
      <c r="R110" s="177"/>
      <c r="S110" s="177"/>
      <c r="T110" s="177"/>
      <c r="U110" s="177"/>
      <c r="V110" s="177"/>
      <c r="W110" s="144"/>
      <c r="X110" s="178" t="str">
        <f t="shared" si="25"/>
        <v/>
      </c>
      <c r="Y110" s="179"/>
      <c r="Z110" s="145" t="str">
        <f t="shared" si="26"/>
        <v/>
      </c>
      <c r="AA110" s="146" t="str">
        <f t="shared" si="27"/>
        <v/>
      </c>
      <c r="AB110" s="180"/>
      <c r="AC110" s="156"/>
    </row>
    <row r="111" spans="1:29">
      <c r="A111" t="str">
        <f t="shared" si="20"/>
        <v/>
      </c>
      <c r="B111" t="str">
        <f>Fastest!C111</f>
        <v/>
      </c>
      <c r="C111" t="str">
        <f>Fastest!AB111</f>
        <v/>
      </c>
      <c r="D111" t="str">
        <f>IF(ISNA(Fastest!AC111),"",Fastest!AC111)</f>
        <v/>
      </c>
      <c r="E111" t="str">
        <f t="shared" si="21"/>
        <v/>
      </c>
      <c r="F111" s="95">
        <v>102</v>
      </c>
      <c r="G111" s="174">
        <v>102</v>
      </c>
      <c r="H111" s="175" t="str">
        <f t="shared" si="22"/>
        <v/>
      </c>
      <c r="I111" s="176" t="str">
        <f t="shared" si="23"/>
        <v/>
      </c>
      <c r="J111" s="177"/>
      <c r="K111" s="177"/>
      <c r="L111" s="177"/>
      <c r="M111" s="177"/>
      <c r="N111" s="177"/>
      <c r="O111" s="177"/>
      <c r="P111" s="176" t="str">
        <f t="shared" si="24"/>
        <v/>
      </c>
      <c r="Q111" s="177"/>
      <c r="R111" s="177"/>
      <c r="S111" s="177"/>
      <c r="T111" s="177"/>
      <c r="U111" s="177"/>
      <c r="V111" s="177"/>
      <c r="W111" s="144"/>
      <c r="X111" s="178" t="str">
        <f t="shared" si="25"/>
        <v/>
      </c>
      <c r="Y111" s="179"/>
      <c r="Z111" s="145" t="str">
        <f t="shared" si="26"/>
        <v/>
      </c>
      <c r="AA111" s="146" t="str">
        <f t="shared" si="27"/>
        <v/>
      </c>
      <c r="AB111" s="180"/>
      <c r="AC111" s="156"/>
    </row>
    <row r="112" spans="1:29">
      <c r="A112" t="str">
        <f t="shared" si="20"/>
        <v/>
      </c>
      <c r="B112" t="str">
        <f>Fastest!C112</f>
        <v/>
      </c>
      <c r="C112" t="str">
        <f>Fastest!AB112</f>
        <v/>
      </c>
      <c r="D112" t="str">
        <f>IF(ISNA(Fastest!AC112),"",Fastest!AC112)</f>
        <v/>
      </c>
      <c r="E112" t="str">
        <f t="shared" si="21"/>
        <v/>
      </c>
      <c r="F112" s="95">
        <v>103</v>
      </c>
      <c r="G112" s="174">
        <v>103</v>
      </c>
      <c r="H112" s="175" t="str">
        <f t="shared" si="22"/>
        <v/>
      </c>
      <c r="I112" s="176" t="str">
        <f t="shared" si="23"/>
        <v/>
      </c>
      <c r="J112" s="177"/>
      <c r="K112" s="177"/>
      <c r="L112" s="177"/>
      <c r="M112" s="177"/>
      <c r="N112" s="177"/>
      <c r="O112" s="177"/>
      <c r="P112" s="176" t="str">
        <f t="shared" si="24"/>
        <v/>
      </c>
      <c r="Q112" s="177"/>
      <c r="R112" s="177"/>
      <c r="S112" s="177"/>
      <c r="T112" s="177"/>
      <c r="U112" s="177"/>
      <c r="V112" s="177"/>
      <c r="W112" s="144"/>
      <c r="X112" s="178" t="str">
        <f t="shared" si="25"/>
        <v/>
      </c>
      <c r="Y112" s="179"/>
      <c r="Z112" s="145" t="str">
        <f t="shared" si="26"/>
        <v/>
      </c>
      <c r="AA112" s="146" t="str">
        <f t="shared" si="27"/>
        <v/>
      </c>
      <c r="AB112" s="180"/>
      <c r="AC112" s="156"/>
    </row>
    <row r="113" spans="1:29">
      <c r="A113" t="str">
        <f t="shared" si="20"/>
        <v/>
      </c>
      <c r="B113" t="str">
        <f>Fastest!C113</f>
        <v/>
      </c>
      <c r="C113" t="str">
        <f>Fastest!AB113</f>
        <v/>
      </c>
      <c r="D113" t="str">
        <f>IF(ISNA(Fastest!AC113),"",Fastest!AC113)</f>
        <v/>
      </c>
      <c r="E113" t="str">
        <f t="shared" si="21"/>
        <v/>
      </c>
      <c r="F113" s="95">
        <v>104</v>
      </c>
      <c r="G113" s="174">
        <v>104</v>
      </c>
      <c r="H113" s="175" t="str">
        <f t="shared" si="22"/>
        <v/>
      </c>
      <c r="I113" s="176" t="str">
        <f t="shared" si="23"/>
        <v/>
      </c>
      <c r="J113" s="177"/>
      <c r="K113" s="177"/>
      <c r="L113" s="177"/>
      <c r="M113" s="177"/>
      <c r="N113" s="177"/>
      <c r="O113" s="177"/>
      <c r="P113" s="176" t="str">
        <f t="shared" si="24"/>
        <v/>
      </c>
      <c r="Q113" s="177"/>
      <c r="R113" s="177"/>
      <c r="S113" s="177"/>
      <c r="T113" s="177"/>
      <c r="U113" s="177"/>
      <c r="V113" s="177"/>
      <c r="W113" s="144"/>
      <c r="X113" s="178" t="str">
        <f t="shared" si="25"/>
        <v/>
      </c>
      <c r="Y113" s="179"/>
      <c r="Z113" s="145" t="str">
        <f t="shared" si="26"/>
        <v/>
      </c>
      <c r="AA113" s="146" t="str">
        <f t="shared" si="27"/>
        <v/>
      </c>
      <c r="AB113" s="180"/>
      <c r="AC113" s="156"/>
    </row>
    <row r="114" spans="1:29">
      <c r="A114" t="str">
        <f t="shared" si="20"/>
        <v/>
      </c>
      <c r="B114" t="str">
        <f>Fastest!C114</f>
        <v/>
      </c>
      <c r="C114" t="str">
        <f>Fastest!AB114</f>
        <v/>
      </c>
      <c r="D114" t="str">
        <f>IF(ISNA(Fastest!AC114),"",Fastest!AC114)</f>
        <v/>
      </c>
      <c r="E114" t="str">
        <f t="shared" si="21"/>
        <v/>
      </c>
      <c r="F114" s="95">
        <v>105</v>
      </c>
      <c r="G114" s="174">
        <v>105</v>
      </c>
      <c r="H114" s="175" t="str">
        <f t="shared" si="22"/>
        <v/>
      </c>
      <c r="I114" s="176" t="str">
        <f t="shared" si="23"/>
        <v/>
      </c>
      <c r="J114" s="177"/>
      <c r="K114" s="177"/>
      <c r="L114" s="177"/>
      <c r="M114" s="177"/>
      <c r="N114" s="177"/>
      <c r="O114" s="177"/>
      <c r="P114" s="176" t="str">
        <f t="shared" si="24"/>
        <v/>
      </c>
      <c r="Q114" s="177"/>
      <c r="R114" s="177"/>
      <c r="S114" s="177"/>
      <c r="T114" s="177"/>
      <c r="U114" s="177"/>
      <c r="V114" s="177"/>
      <c r="W114" s="144"/>
      <c r="X114" s="178" t="str">
        <f t="shared" si="25"/>
        <v/>
      </c>
      <c r="Y114" s="179"/>
      <c r="Z114" s="145" t="str">
        <f t="shared" si="26"/>
        <v/>
      </c>
      <c r="AA114" s="146" t="str">
        <f t="shared" si="27"/>
        <v/>
      </c>
      <c r="AB114" s="180"/>
      <c r="AC114" s="156"/>
    </row>
    <row r="115" spans="1:29">
      <c r="A115" t="str">
        <f t="shared" si="20"/>
        <v/>
      </c>
      <c r="B115" t="str">
        <f>Fastest!C115</f>
        <v/>
      </c>
      <c r="C115" t="str">
        <f>Fastest!AB115</f>
        <v/>
      </c>
      <c r="D115" t="str">
        <f>IF(ISNA(Fastest!AC115),"",Fastest!AC115)</f>
        <v/>
      </c>
      <c r="E115" t="str">
        <f t="shared" si="21"/>
        <v/>
      </c>
      <c r="F115" s="95">
        <v>106</v>
      </c>
      <c r="G115" s="174">
        <v>106</v>
      </c>
      <c r="H115" s="175" t="str">
        <f t="shared" si="22"/>
        <v/>
      </c>
      <c r="I115" s="176" t="str">
        <f t="shared" si="23"/>
        <v/>
      </c>
      <c r="J115" s="177"/>
      <c r="K115" s="177"/>
      <c r="L115" s="177"/>
      <c r="M115" s="177"/>
      <c r="N115" s="177"/>
      <c r="O115" s="177"/>
      <c r="P115" s="176" t="str">
        <f t="shared" si="24"/>
        <v/>
      </c>
      <c r="Q115" s="177"/>
      <c r="R115" s="177"/>
      <c r="S115" s="177"/>
      <c r="T115" s="177"/>
      <c r="U115" s="177"/>
      <c r="V115" s="177"/>
      <c r="W115" s="144"/>
      <c r="X115" s="178" t="str">
        <f t="shared" si="25"/>
        <v/>
      </c>
      <c r="Y115" s="179"/>
      <c r="Z115" s="145" t="str">
        <f t="shared" si="26"/>
        <v/>
      </c>
      <c r="AA115" s="146" t="str">
        <f t="shared" si="27"/>
        <v/>
      </c>
      <c r="AB115" s="180"/>
      <c r="AC115" s="156"/>
    </row>
    <row r="116" spans="1:29">
      <c r="A116" t="str">
        <f t="shared" si="20"/>
        <v/>
      </c>
      <c r="B116" t="str">
        <f>Fastest!C116</f>
        <v/>
      </c>
      <c r="C116" t="str">
        <f>Fastest!AB116</f>
        <v/>
      </c>
      <c r="D116" t="str">
        <f>IF(ISNA(Fastest!AC116),"",Fastest!AC116)</f>
        <v/>
      </c>
      <c r="E116" t="str">
        <f t="shared" si="21"/>
        <v/>
      </c>
      <c r="F116" s="95">
        <v>107</v>
      </c>
      <c r="G116" s="174">
        <v>107</v>
      </c>
      <c r="H116" s="175" t="str">
        <f t="shared" si="22"/>
        <v/>
      </c>
      <c r="I116" s="176" t="str">
        <f t="shared" si="23"/>
        <v/>
      </c>
      <c r="J116" s="177"/>
      <c r="K116" s="177"/>
      <c r="L116" s="177"/>
      <c r="M116" s="177"/>
      <c r="N116" s="177"/>
      <c r="O116" s="177"/>
      <c r="P116" s="176" t="str">
        <f t="shared" si="24"/>
        <v/>
      </c>
      <c r="Q116" s="177"/>
      <c r="R116" s="177"/>
      <c r="S116" s="177"/>
      <c r="T116" s="177"/>
      <c r="U116" s="177"/>
      <c r="V116" s="177"/>
      <c r="W116" s="144"/>
      <c r="X116" s="178" t="str">
        <f t="shared" si="25"/>
        <v/>
      </c>
      <c r="Y116" s="179"/>
      <c r="Z116" s="145" t="str">
        <f t="shared" si="26"/>
        <v/>
      </c>
      <c r="AA116" s="146" t="str">
        <f t="shared" si="27"/>
        <v/>
      </c>
      <c r="AB116" s="180"/>
      <c r="AC116" s="156"/>
    </row>
    <row r="117" spans="1:29">
      <c r="A117" t="str">
        <f t="shared" si="20"/>
        <v/>
      </c>
      <c r="B117" t="str">
        <f>Fastest!C117</f>
        <v/>
      </c>
      <c r="C117" t="str">
        <f>Fastest!AB117</f>
        <v/>
      </c>
      <c r="D117" t="str">
        <f>IF(ISNA(Fastest!AC117),"",Fastest!AC117)</f>
        <v/>
      </c>
      <c r="E117" t="str">
        <f t="shared" si="21"/>
        <v/>
      </c>
      <c r="F117" s="95">
        <v>108</v>
      </c>
      <c r="G117" s="174">
        <v>108</v>
      </c>
      <c r="H117" s="175" t="str">
        <f t="shared" si="22"/>
        <v/>
      </c>
      <c r="I117" s="176" t="str">
        <f t="shared" si="23"/>
        <v/>
      </c>
      <c r="J117" s="177"/>
      <c r="K117" s="177"/>
      <c r="L117" s="177"/>
      <c r="M117" s="177"/>
      <c r="N117" s="177"/>
      <c r="O117" s="177"/>
      <c r="P117" s="176" t="str">
        <f t="shared" si="24"/>
        <v/>
      </c>
      <c r="Q117" s="177"/>
      <c r="R117" s="177"/>
      <c r="S117" s="177"/>
      <c r="T117" s="177"/>
      <c r="U117" s="177"/>
      <c r="V117" s="177"/>
      <c r="W117" s="144"/>
      <c r="X117" s="178" t="str">
        <f t="shared" si="25"/>
        <v/>
      </c>
      <c r="Y117" s="179"/>
      <c r="Z117" s="145" t="str">
        <f t="shared" si="26"/>
        <v/>
      </c>
      <c r="AA117" s="146" t="str">
        <f t="shared" si="27"/>
        <v/>
      </c>
      <c r="AB117" s="180"/>
      <c r="AC117" s="156"/>
    </row>
    <row r="118" spans="1:29">
      <c r="A118" t="str">
        <f t="shared" si="20"/>
        <v/>
      </c>
      <c r="B118" t="str">
        <f>Fastest!C118</f>
        <v/>
      </c>
      <c r="C118" t="str">
        <f>Fastest!AB118</f>
        <v/>
      </c>
      <c r="D118" t="str">
        <f>IF(ISNA(Fastest!AC118),"",Fastest!AC118)</f>
        <v/>
      </c>
      <c r="E118" t="str">
        <f t="shared" si="21"/>
        <v/>
      </c>
      <c r="F118" s="95">
        <v>109</v>
      </c>
      <c r="G118" s="174">
        <v>109</v>
      </c>
      <c r="H118" s="175" t="str">
        <f t="shared" si="22"/>
        <v/>
      </c>
      <c r="I118" s="176" t="str">
        <f t="shared" si="23"/>
        <v/>
      </c>
      <c r="J118" s="177"/>
      <c r="K118" s="177"/>
      <c r="L118" s="177"/>
      <c r="M118" s="177"/>
      <c r="N118" s="177"/>
      <c r="O118" s="177"/>
      <c r="P118" s="176" t="str">
        <f t="shared" si="24"/>
        <v/>
      </c>
      <c r="Q118" s="177"/>
      <c r="R118" s="177"/>
      <c r="S118" s="177"/>
      <c r="T118" s="177"/>
      <c r="U118" s="177"/>
      <c r="V118" s="177"/>
      <c r="W118" s="144"/>
      <c r="X118" s="178" t="str">
        <f t="shared" si="25"/>
        <v/>
      </c>
      <c r="Y118" s="179"/>
      <c r="Z118" s="145" t="str">
        <f t="shared" si="26"/>
        <v/>
      </c>
      <c r="AA118" s="146" t="str">
        <f t="shared" si="27"/>
        <v/>
      </c>
      <c r="AB118" s="180"/>
      <c r="AC118" s="156"/>
    </row>
    <row r="119" spans="1:29">
      <c r="A119" t="str">
        <f t="shared" si="20"/>
        <v/>
      </c>
      <c r="B119" t="str">
        <f>Fastest!C119</f>
        <v/>
      </c>
      <c r="C119" t="str">
        <f>Fastest!AB119</f>
        <v/>
      </c>
      <c r="D119" t="str">
        <f>IF(ISNA(Fastest!AC119),"",Fastest!AC119)</f>
        <v/>
      </c>
      <c r="E119" t="str">
        <f t="shared" si="21"/>
        <v/>
      </c>
      <c r="F119" s="95">
        <v>110</v>
      </c>
      <c r="G119" s="174">
        <v>110</v>
      </c>
      <c r="H119" s="175" t="str">
        <f t="shared" si="22"/>
        <v/>
      </c>
      <c r="I119" s="176" t="str">
        <f t="shared" si="23"/>
        <v/>
      </c>
      <c r="J119" s="177"/>
      <c r="K119" s="177"/>
      <c r="L119" s="177"/>
      <c r="M119" s="177"/>
      <c r="N119" s="177"/>
      <c r="O119" s="177"/>
      <c r="P119" s="176" t="str">
        <f t="shared" si="24"/>
        <v/>
      </c>
      <c r="Q119" s="177"/>
      <c r="R119" s="177"/>
      <c r="S119" s="177"/>
      <c r="T119" s="177"/>
      <c r="U119" s="177"/>
      <c r="V119" s="177"/>
      <c r="W119" s="144"/>
      <c r="X119" s="178" t="str">
        <f t="shared" si="25"/>
        <v/>
      </c>
      <c r="Y119" s="179"/>
      <c r="Z119" s="145" t="str">
        <f t="shared" si="26"/>
        <v/>
      </c>
      <c r="AA119" s="146" t="str">
        <f t="shared" si="27"/>
        <v/>
      </c>
      <c r="AB119" s="180"/>
      <c r="AC119" s="156"/>
    </row>
    <row r="120" spans="1:29">
      <c r="A120" t="str">
        <f t="shared" si="20"/>
        <v/>
      </c>
      <c r="B120" t="str">
        <f>Fastest!C120</f>
        <v/>
      </c>
      <c r="C120" t="str">
        <f>Fastest!AB120</f>
        <v/>
      </c>
      <c r="D120" t="str">
        <f>IF(ISNA(Fastest!AC120),"",Fastest!AC120)</f>
        <v/>
      </c>
      <c r="E120" t="str">
        <f t="shared" si="21"/>
        <v/>
      </c>
      <c r="F120" s="95">
        <v>111</v>
      </c>
      <c r="G120" s="174">
        <v>111</v>
      </c>
      <c r="H120" s="175" t="str">
        <f t="shared" si="22"/>
        <v/>
      </c>
      <c r="I120" s="176" t="str">
        <f t="shared" si="23"/>
        <v/>
      </c>
      <c r="J120" s="177"/>
      <c r="K120" s="177"/>
      <c r="L120" s="177"/>
      <c r="M120" s="177"/>
      <c r="N120" s="177"/>
      <c r="O120" s="177"/>
      <c r="P120" s="176" t="str">
        <f t="shared" si="24"/>
        <v/>
      </c>
      <c r="Q120" s="177"/>
      <c r="R120" s="177"/>
      <c r="S120" s="177"/>
      <c r="T120" s="177"/>
      <c r="U120" s="177"/>
      <c r="V120" s="177"/>
      <c r="W120" s="144"/>
      <c r="X120" s="178" t="str">
        <f t="shared" si="25"/>
        <v/>
      </c>
      <c r="Y120" s="179"/>
      <c r="Z120" s="145" t="str">
        <f t="shared" si="26"/>
        <v/>
      </c>
      <c r="AA120" s="146" t="str">
        <f t="shared" si="27"/>
        <v/>
      </c>
      <c r="AB120" s="180"/>
      <c r="AC120" s="156"/>
    </row>
    <row r="121" spans="1:29">
      <c r="A121" t="str">
        <f t="shared" si="20"/>
        <v/>
      </c>
      <c r="B121" t="str">
        <f>Fastest!C121</f>
        <v/>
      </c>
      <c r="C121" t="str">
        <f>Fastest!AB121</f>
        <v/>
      </c>
      <c r="D121" t="str">
        <f>IF(ISNA(Fastest!AC121),"",Fastest!AC121)</f>
        <v/>
      </c>
      <c r="E121" t="str">
        <f t="shared" si="21"/>
        <v/>
      </c>
      <c r="F121" s="95">
        <v>112</v>
      </c>
      <c r="G121" s="174">
        <v>112</v>
      </c>
      <c r="H121" s="175" t="str">
        <f t="shared" si="22"/>
        <v/>
      </c>
      <c r="I121" s="176" t="str">
        <f t="shared" si="23"/>
        <v/>
      </c>
      <c r="J121" s="177"/>
      <c r="K121" s="177"/>
      <c r="L121" s="177"/>
      <c r="M121" s="177"/>
      <c r="N121" s="177"/>
      <c r="O121" s="177"/>
      <c r="P121" s="176" t="str">
        <f t="shared" si="24"/>
        <v/>
      </c>
      <c r="Q121" s="177"/>
      <c r="R121" s="177"/>
      <c r="S121" s="177"/>
      <c r="T121" s="177"/>
      <c r="U121" s="177"/>
      <c r="V121" s="177"/>
      <c r="W121" s="144"/>
      <c r="X121" s="178" t="str">
        <f t="shared" si="25"/>
        <v/>
      </c>
      <c r="Y121" s="179"/>
      <c r="Z121" s="145" t="str">
        <f t="shared" si="26"/>
        <v/>
      </c>
      <c r="AA121" s="146" t="str">
        <f t="shared" si="27"/>
        <v/>
      </c>
      <c r="AB121" s="180"/>
      <c r="AC121" s="156"/>
    </row>
    <row r="122" spans="1:29">
      <c r="A122" t="str">
        <f t="shared" si="20"/>
        <v/>
      </c>
      <c r="B122" t="str">
        <f>Fastest!C122</f>
        <v/>
      </c>
      <c r="C122" t="str">
        <f>Fastest!AB122</f>
        <v/>
      </c>
      <c r="D122" t="str">
        <f>IF(ISNA(Fastest!AC122),"",Fastest!AC122)</f>
        <v/>
      </c>
      <c r="E122" t="str">
        <f t="shared" si="21"/>
        <v/>
      </c>
      <c r="F122" s="95">
        <v>113</v>
      </c>
      <c r="G122" s="174">
        <v>113</v>
      </c>
      <c r="H122" s="175" t="str">
        <f t="shared" si="22"/>
        <v/>
      </c>
      <c r="I122" s="176" t="str">
        <f t="shared" si="23"/>
        <v/>
      </c>
      <c r="J122" s="177"/>
      <c r="K122" s="177"/>
      <c r="L122" s="177"/>
      <c r="M122" s="177"/>
      <c r="N122" s="177"/>
      <c r="O122" s="177"/>
      <c r="P122" s="176" t="str">
        <f t="shared" si="24"/>
        <v/>
      </c>
      <c r="Q122" s="177"/>
      <c r="R122" s="177"/>
      <c r="S122" s="177"/>
      <c r="T122" s="177"/>
      <c r="U122" s="177"/>
      <c r="V122" s="177"/>
      <c r="W122" s="144"/>
      <c r="X122" s="178" t="str">
        <f t="shared" si="25"/>
        <v/>
      </c>
      <c r="Y122" s="179"/>
      <c r="Z122" s="145" t="str">
        <f t="shared" si="26"/>
        <v/>
      </c>
      <c r="AA122" s="146" t="str">
        <f t="shared" si="27"/>
        <v/>
      </c>
      <c r="AB122" s="180"/>
      <c r="AC122" s="156"/>
    </row>
    <row r="123" spans="1:29">
      <c r="A123" t="str">
        <f t="shared" si="20"/>
        <v/>
      </c>
      <c r="B123" t="str">
        <f>Fastest!C123</f>
        <v/>
      </c>
      <c r="C123" t="str">
        <f>Fastest!AB123</f>
        <v/>
      </c>
      <c r="D123" t="str">
        <f>IF(ISNA(Fastest!AC123),"",Fastest!AC123)</f>
        <v/>
      </c>
      <c r="E123" t="str">
        <f t="shared" si="21"/>
        <v/>
      </c>
      <c r="F123" s="95">
        <v>114</v>
      </c>
      <c r="G123" s="174">
        <v>114</v>
      </c>
      <c r="H123" s="175" t="str">
        <f t="shared" si="22"/>
        <v/>
      </c>
      <c r="I123" s="176" t="str">
        <f t="shared" si="23"/>
        <v/>
      </c>
      <c r="J123" s="177"/>
      <c r="K123" s="177"/>
      <c r="L123" s="177"/>
      <c r="M123" s="177"/>
      <c r="N123" s="177"/>
      <c r="O123" s="177"/>
      <c r="P123" s="176" t="str">
        <f t="shared" si="24"/>
        <v/>
      </c>
      <c r="Q123" s="177"/>
      <c r="R123" s="177"/>
      <c r="S123" s="177"/>
      <c r="T123" s="177"/>
      <c r="U123" s="177"/>
      <c r="V123" s="177"/>
      <c r="W123" s="144"/>
      <c r="X123" s="178" t="str">
        <f t="shared" si="25"/>
        <v/>
      </c>
      <c r="Y123" s="179"/>
      <c r="Z123" s="145" t="str">
        <f t="shared" si="26"/>
        <v/>
      </c>
      <c r="AA123" s="146" t="str">
        <f t="shared" si="27"/>
        <v/>
      </c>
      <c r="AB123" s="180"/>
      <c r="AC123" s="156"/>
    </row>
    <row r="124" spans="1:29">
      <c r="A124" t="str">
        <f t="shared" si="20"/>
        <v/>
      </c>
      <c r="B124" t="str">
        <f>Fastest!C124</f>
        <v/>
      </c>
      <c r="C124" t="str">
        <f>Fastest!AB124</f>
        <v/>
      </c>
      <c r="D124" t="str">
        <f>IF(ISNA(Fastest!AC124),"",Fastest!AC124)</f>
        <v/>
      </c>
      <c r="E124" t="str">
        <f t="shared" si="21"/>
        <v/>
      </c>
      <c r="F124" s="95">
        <v>115</v>
      </c>
      <c r="G124" s="174">
        <v>115</v>
      </c>
      <c r="H124" s="175" t="str">
        <f t="shared" si="22"/>
        <v/>
      </c>
      <c r="I124" s="176" t="str">
        <f t="shared" si="23"/>
        <v/>
      </c>
      <c r="J124" s="177"/>
      <c r="K124" s="177"/>
      <c r="L124" s="177"/>
      <c r="M124" s="177"/>
      <c r="N124" s="177"/>
      <c r="O124" s="177"/>
      <c r="P124" s="176" t="str">
        <f t="shared" si="24"/>
        <v/>
      </c>
      <c r="Q124" s="177"/>
      <c r="R124" s="177"/>
      <c r="S124" s="177"/>
      <c r="T124" s="177"/>
      <c r="U124" s="177"/>
      <c r="V124" s="177"/>
      <c r="W124" s="144"/>
      <c r="X124" s="178" t="str">
        <f t="shared" si="25"/>
        <v/>
      </c>
      <c r="Y124" s="179"/>
      <c r="Z124" s="145" t="str">
        <f t="shared" si="26"/>
        <v/>
      </c>
      <c r="AA124" s="146" t="str">
        <f t="shared" si="27"/>
        <v/>
      </c>
      <c r="AB124" s="180"/>
      <c r="AC124" s="156"/>
    </row>
    <row r="125" spans="1:29">
      <c r="A125" t="str">
        <f t="shared" si="20"/>
        <v/>
      </c>
      <c r="B125" t="str">
        <f>Fastest!C125</f>
        <v/>
      </c>
      <c r="C125" t="str">
        <f>Fastest!AB125</f>
        <v/>
      </c>
      <c r="D125" t="str">
        <f>IF(ISNA(Fastest!AC125),"",Fastest!AC125)</f>
        <v/>
      </c>
      <c r="E125" t="str">
        <f t="shared" si="21"/>
        <v/>
      </c>
      <c r="F125" s="95">
        <v>116</v>
      </c>
      <c r="G125" s="174">
        <v>116</v>
      </c>
      <c r="H125" s="175" t="str">
        <f t="shared" si="22"/>
        <v/>
      </c>
      <c r="I125" s="176" t="str">
        <f t="shared" si="23"/>
        <v/>
      </c>
      <c r="J125" s="177"/>
      <c r="K125" s="177"/>
      <c r="L125" s="177"/>
      <c r="M125" s="177"/>
      <c r="N125" s="177"/>
      <c r="O125" s="177"/>
      <c r="P125" s="176" t="str">
        <f t="shared" si="24"/>
        <v/>
      </c>
      <c r="Q125" s="177"/>
      <c r="R125" s="177"/>
      <c r="S125" s="177"/>
      <c r="T125" s="177"/>
      <c r="U125" s="177"/>
      <c r="V125" s="177"/>
      <c r="W125" s="144"/>
      <c r="X125" s="178" t="str">
        <f t="shared" si="25"/>
        <v/>
      </c>
      <c r="Y125" s="179"/>
      <c r="Z125" s="145" t="str">
        <f t="shared" si="26"/>
        <v/>
      </c>
      <c r="AA125" s="146" t="str">
        <f t="shared" si="27"/>
        <v/>
      </c>
      <c r="AB125" s="180"/>
      <c r="AC125" s="156"/>
    </row>
    <row r="126" spans="1:29">
      <c r="A126" t="str">
        <f t="shared" si="20"/>
        <v/>
      </c>
      <c r="B126" t="str">
        <f>Fastest!C126</f>
        <v/>
      </c>
      <c r="C126" t="str">
        <f>Fastest!AB126</f>
        <v/>
      </c>
      <c r="D126" t="str">
        <f>IF(ISNA(Fastest!AC126),"",Fastest!AC126)</f>
        <v/>
      </c>
      <c r="E126" t="str">
        <f t="shared" si="21"/>
        <v/>
      </c>
      <c r="F126" s="95">
        <v>117</v>
      </c>
      <c r="G126" s="174">
        <v>117</v>
      </c>
      <c r="H126" s="175" t="str">
        <f t="shared" si="22"/>
        <v/>
      </c>
      <c r="I126" s="176" t="str">
        <f t="shared" si="23"/>
        <v/>
      </c>
      <c r="J126" s="177"/>
      <c r="K126" s="177"/>
      <c r="L126" s="177"/>
      <c r="M126" s="177"/>
      <c r="N126" s="177"/>
      <c r="O126" s="177"/>
      <c r="P126" s="176" t="str">
        <f t="shared" si="24"/>
        <v/>
      </c>
      <c r="Q126" s="177"/>
      <c r="R126" s="177"/>
      <c r="S126" s="177"/>
      <c r="T126" s="177"/>
      <c r="U126" s="177"/>
      <c r="V126" s="177"/>
      <c r="W126" s="144"/>
      <c r="X126" s="178" t="str">
        <f t="shared" si="25"/>
        <v/>
      </c>
      <c r="Y126" s="179"/>
      <c r="Z126" s="145" t="str">
        <f t="shared" si="26"/>
        <v/>
      </c>
      <c r="AA126" s="146" t="str">
        <f t="shared" si="27"/>
        <v/>
      </c>
      <c r="AB126" s="180"/>
      <c r="AC126" s="156"/>
    </row>
    <row r="127" spans="1:29">
      <c r="A127" t="str">
        <f t="shared" si="20"/>
        <v/>
      </c>
      <c r="B127" t="str">
        <f>Fastest!C127</f>
        <v/>
      </c>
      <c r="C127" t="str">
        <f>Fastest!AB127</f>
        <v/>
      </c>
      <c r="D127" t="str">
        <f>IF(ISNA(Fastest!AC127),"",Fastest!AC127)</f>
        <v/>
      </c>
      <c r="E127" t="str">
        <f t="shared" si="21"/>
        <v/>
      </c>
      <c r="F127" s="95">
        <v>118</v>
      </c>
      <c r="G127" s="174">
        <v>118</v>
      </c>
      <c r="H127" s="175" t="str">
        <f t="shared" si="22"/>
        <v/>
      </c>
      <c r="I127" s="176" t="str">
        <f t="shared" si="23"/>
        <v/>
      </c>
      <c r="J127" s="177"/>
      <c r="K127" s="177"/>
      <c r="L127" s="177"/>
      <c r="M127" s="177"/>
      <c r="N127" s="177"/>
      <c r="O127" s="177"/>
      <c r="P127" s="176" t="str">
        <f t="shared" si="24"/>
        <v/>
      </c>
      <c r="Q127" s="177"/>
      <c r="R127" s="177"/>
      <c r="S127" s="177"/>
      <c r="T127" s="177"/>
      <c r="U127" s="177"/>
      <c r="V127" s="177"/>
      <c r="W127" s="144"/>
      <c r="X127" s="178" t="str">
        <f t="shared" si="25"/>
        <v/>
      </c>
      <c r="Y127" s="179"/>
      <c r="Z127" s="145" t="str">
        <f t="shared" si="26"/>
        <v/>
      </c>
      <c r="AA127" s="146" t="str">
        <f t="shared" si="27"/>
        <v/>
      </c>
      <c r="AB127" s="180"/>
      <c r="AC127" s="156"/>
    </row>
    <row r="128" spans="1:29">
      <c r="A128" t="str">
        <f t="shared" si="20"/>
        <v/>
      </c>
      <c r="B128" t="str">
        <f>Fastest!C128</f>
        <v/>
      </c>
      <c r="C128" t="str">
        <f>Fastest!AB128</f>
        <v/>
      </c>
      <c r="D128" t="str">
        <f>IF(ISNA(Fastest!AC128),"",Fastest!AC128)</f>
        <v/>
      </c>
      <c r="E128" t="str">
        <f t="shared" si="21"/>
        <v/>
      </c>
      <c r="F128" s="95">
        <v>119</v>
      </c>
      <c r="G128" s="174">
        <v>119</v>
      </c>
      <c r="H128" s="175" t="str">
        <f t="shared" si="22"/>
        <v/>
      </c>
      <c r="I128" s="176" t="str">
        <f t="shared" si="23"/>
        <v/>
      </c>
      <c r="J128" s="177"/>
      <c r="K128" s="177"/>
      <c r="L128" s="177"/>
      <c r="M128" s="177"/>
      <c r="N128" s="177"/>
      <c r="O128" s="177"/>
      <c r="P128" s="176" t="str">
        <f t="shared" si="24"/>
        <v/>
      </c>
      <c r="Q128" s="177"/>
      <c r="R128" s="177"/>
      <c r="S128" s="177"/>
      <c r="T128" s="177"/>
      <c r="U128" s="177"/>
      <c r="V128" s="177"/>
      <c r="W128" s="144"/>
      <c r="X128" s="178" t="str">
        <f t="shared" si="25"/>
        <v/>
      </c>
      <c r="Y128" s="179"/>
      <c r="Z128" s="145" t="str">
        <f t="shared" si="26"/>
        <v/>
      </c>
      <c r="AA128" s="146" t="str">
        <f t="shared" si="27"/>
        <v/>
      </c>
      <c r="AB128" s="180"/>
      <c r="AC128" s="156"/>
    </row>
    <row r="129" spans="1:29">
      <c r="A129" t="str">
        <f t="shared" si="20"/>
        <v/>
      </c>
      <c r="B129" t="str">
        <f>Fastest!C129</f>
        <v/>
      </c>
      <c r="C129" t="str">
        <f>Fastest!AB129</f>
        <v/>
      </c>
      <c r="D129" t="str">
        <f>IF(ISNA(Fastest!AC129),"",Fastest!AC129)</f>
        <v/>
      </c>
      <c r="E129" t="str">
        <f t="shared" si="21"/>
        <v/>
      </c>
      <c r="F129" s="95">
        <v>120</v>
      </c>
      <c r="G129" s="174">
        <v>120</v>
      </c>
      <c r="H129" s="175" t="str">
        <f t="shared" si="22"/>
        <v/>
      </c>
      <c r="I129" s="176" t="str">
        <f t="shared" si="23"/>
        <v/>
      </c>
      <c r="J129" s="177"/>
      <c r="K129" s="177"/>
      <c r="L129" s="177"/>
      <c r="M129" s="177"/>
      <c r="N129" s="177"/>
      <c r="O129" s="177"/>
      <c r="P129" s="176" t="str">
        <f t="shared" si="24"/>
        <v/>
      </c>
      <c r="Q129" s="177"/>
      <c r="R129" s="177"/>
      <c r="S129" s="177"/>
      <c r="T129" s="177"/>
      <c r="U129" s="177"/>
      <c r="V129" s="177"/>
      <c r="W129" s="144"/>
      <c r="X129" s="178" t="str">
        <f t="shared" si="25"/>
        <v/>
      </c>
      <c r="Y129" s="179"/>
      <c r="Z129" s="145" t="str">
        <f t="shared" si="26"/>
        <v/>
      </c>
      <c r="AA129" s="146" t="str">
        <f t="shared" si="27"/>
        <v/>
      </c>
      <c r="AB129" s="180"/>
      <c r="AC129" s="156"/>
    </row>
    <row r="130" spans="1:29">
      <c r="A130" t="str">
        <f t="shared" si="20"/>
        <v/>
      </c>
      <c r="B130" t="str">
        <f>Fastest!C130</f>
        <v/>
      </c>
      <c r="C130" t="str">
        <f>Fastest!AB130</f>
        <v/>
      </c>
      <c r="D130" t="str">
        <f>IF(ISNA(Fastest!AC130),"",Fastest!AC130)</f>
        <v/>
      </c>
      <c r="E130" t="str">
        <f t="shared" si="21"/>
        <v/>
      </c>
      <c r="F130" s="95">
        <v>121</v>
      </c>
      <c r="G130" s="174">
        <v>121</v>
      </c>
      <c r="H130" s="175" t="str">
        <f t="shared" si="22"/>
        <v/>
      </c>
      <c r="I130" s="176" t="str">
        <f t="shared" si="23"/>
        <v/>
      </c>
      <c r="J130" s="177"/>
      <c r="K130" s="177"/>
      <c r="L130" s="177"/>
      <c r="M130" s="177"/>
      <c r="N130" s="177"/>
      <c r="O130" s="177"/>
      <c r="P130" s="176" t="str">
        <f t="shared" si="24"/>
        <v/>
      </c>
      <c r="Q130" s="177"/>
      <c r="R130" s="177"/>
      <c r="S130" s="177"/>
      <c r="T130" s="177"/>
      <c r="U130" s="177"/>
      <c r="V130" s="177"/>
      <c r="W130" s="144"/>
      <c r="X130" s="178" t="str">
        <f t="shared" si="25"/>
        <v/>
      </c>
      <c r="Y130" s="179"/>
      <c r="Z130" s="145" t="str">
        <f t="shared" si="26"/>
        <v/>
      </c>
      <c r="AA130" s="146" t="str">
        <f t="shared" si="27"/>
        <v/>
      </c>
      <c r="AB130" s="180"/>
      <c r="AC130" s="156"/>
    </row>
    <row r="131" spans="1:29">
      <c r="A131" t="str">
        <f t="shared" si="20"/>
        <v/>
      </c>
      <c r="B131" t="str">
        <f>Fastest!C131</f>
        <v/>
      </c>
      <c r="C131" t="str">
        <f>Fastest!AB131</f>
        <v/>
      </c>
      <c r="D131" t="str">
        <f>IF(ISNA(Fastest!AC131),"",Fastest!AC131)</f>
        <v/>
      </c>
      <c r="E131" t="str">
        <f t="shared" si="21"/>
        <v/>
      </c>
      <c r="F131" s="95">
        <v>122</v>
      </c>
      <c r="G131" s="174">
        <v>122</v>
      </c>
      <c r="H131" s="175" t="str">
        <f t="shared" si="22"/>
        <v/>
      </c>
      <c r="I131" s="176" t="str">
        <f t="shared" si="23"/>
        <v/>
      </c>
      <c r="J131" s="177"/>
      <c r="K131" s="177"/>
      <c r="L131" s="177"/>
      <c r="M131" s="177"/>
      <c r="N131" s="177"/>
      <c r="O131" s="177"/>
      <c r="P131" s="176" t="str">
        <f t="shared" si="24"/>
        <v/>
      </c>
      <c r="Q131" s="177"/>
      <c r="R131" s="177"/>
      <c r="S131" s="177"/>
      <c r="T131" s="177"/>
      <c r="U131" s="177"/>
      <c r="V131" s="177"/>
      <c r="W131" s="144"/>
      <c r="X131" s="178" t="str">
        <f t="shared" si="25"/>
        <v/>
      </c>
      <c r="Y131" s="179"/>
      <c r="Z131" s="145" t="str">
        <f t="shared" si="26"/>
        <v/>
      </c>
      <c r="AA131" s="146" t="str">
        <f t="shared" si="27"/>
        <v/>
      </c>
      <c r="AB131" s="180"/>
      <c r="AC131" s="156"/>
    </row>
    <row r="132" spans="1:29">
      <c r="A132" t="str">
        <f t="shared" si="20"/>
        <v/>
      </c>
      <c r="B132" t="str">
        <f>Fastest!C132</f>
        <v/>
      </c>
      <c r="C132" t="str">
        <f>Fastest!AB132</f>
        <v/>
      </c>
      <c r="D132" t="str">
        <f>IF(ISNA(Fastest!AC132),"",Fastest!AC132)</f>
        <v/>
      </c>
      <c r="E132" t="str">
        <f t="shared" si="21"/>
        <v/>
      </c>
      <c r="F132" s="95">
        <v>123</v>
      </c>
      <c r="G132" s="174">
        <v>123</v>
      </c>
      <c r="H132" s="175" t="str">
        <f t="shared" si="22"/>
        <v/>
      </c>
      <c r="I132" s="176" t="str">
        <f t="shared" si="23"/>
        <v/>
      </c>
      <c r="J132" s="177"/>
      <c r="K132" s="177"/>
      <c r="L132" s="177"/>
      <c r="M132" s="177"/>
      <c r="N132" s="177"/>
      <c r="O132" s="177"/>
      <c r="P132" s="176" t="str">
        <f t="shared" si="24"/>
        <v/>
      </c>
      <c r="Q132" s="177"/>
      <c r="R132" s="177"/>
      <c r="S132" s="177"/>
      <c r="T132" s="177"/>
      <c r="U132" s="177"/>
      <c r="V132" s="177"/>
      <c r="W132" s="144"/>
      <c r="X132" s="178" t="str">
        <f t="shared" si="25"/>
        <v/>
      </c>
      <c r="Y132" s="179"/>
      <c r="Z132" s="145" t="str">
        <f t="shared" si="26"/>
        <v/>
      </c>
      <c r="AA132" s="146" t="str">
        <f t="shared" si="27"/>
        <v/>
      </c>
      <c r="AB132" s="180"/>
      <c r="AC132" s="156"/>
    </row>
    <row r="133" spans="1:29">
      <c r="A133" t="str">
        <f t="shared" si="20"/>
        <v/>
      </c>
      <c r="B133" t="str">
        <f>Fastest!C133</f>
        <v/>
      </c>
      <c r="C133" t="str">
        <f>Fastest!AB133</f>
        <v/>
      </c>
      <c r="D133" t="str">
        <f>IF(ISNA(Fastest!AC133),"",Fastest!AC133)</f>
        <v/>
      </c>
      <c r="E133" t="str">
        <f t="shared" si="21"/>
        <v/>
      </c>
      <c r="F133" s="95">
        <v>124</v>
      </c>
      <c r="G133" s="174">
        <v>124</v>
      </c>
      <c r="H133" s="175" t="str">
        <f t="shared" si="22"/>
        <v/>
      </c>
      <c r="I133" s="176" t="str">
        <f t="shared" si="23"/>
        <v/>
      </c>
      <c r="J133" s="177"/>
      <c r="K133" s="177"/>
      <c r="L133" s="177"/>
      <c r="M133" s="177"/>
      <c r="N133" s="177"/>
      <c r="O133" s="177"/>
      <c r="P133" s="176" t="str">
        <f t="shared" si="24"/>
        <v/>
      </c>
      <c r="Q133" s="177"/>
      <c r="R133" s="177"/>
      <c r="S133" s="177"/>
      <c r="T133" s="177"/>
      <c r="U133" s="177"/>
      <c r="V133" s="177"/>
      <c r="W133" s="144"/>
      <c r="X133" s="178" t="str">
        <f t="shared" si="25"/>
        <v/>
      </c>
      <c r="Y133" s="179"/>
      <c r="Z133" s="145" t="str">
        <f t="shared" si="26"/>
        <v/>
      </c>
      <c r="AA133" s="146" t="str">
        <f t="shared" si="27"/>
        <v/>
      </c>
      <c r="AB133" s="180"/>
      <c r="AC133" s="156"/>
    </row>
    <row r="134" spans="1:29">
      <c r="A134" t="str">
        <f t="shared" si="20"/>
        <v/>
      </c>
      <c r="B134" t="str">
        <f>Fastest!C134</f>
        <v/>
      </c>
      <c r="C134" t="str">
        <f>Fastest!AB134</f>
        <v/>
      </c>
      <c r="D134" t="str">
        <f>IF(ISNA(Fastest!AC134),"",Fastest!AC134)</f>
        <v/>
      </c>
      <c r="E134" t="str">
        <f t="shared" si="21"/>
        <v/>
      </c>
      <c r="F134" s="95">
        <v>125</v>
      </c>
      <c r="G134" s="174">
        <v>125</v>
      </c>
      <c r="H134" s="175" t="str">
        <f t="shared" si="22"/>
        <v/>
      </c>
      <c r="I134" s="176" t="str">
        <f t="shared" si="23"/>
        <v/>
      </c>
      <c r="J134" s="177"/>
      <c r="K134" s="177"/>
      <c r="L134" s="177"/>
      <c r="M134" s="177"/>
      <c r="N134" s="177"/>
      <c r="O134" s="177"/>
      <c r="P134" s="176" t="str">
        <f t="shared" si="24"/>
        <v/>
      </c>
      <c r="Q134" s="177"/>
      <c r="R134" s="177"/>
      <c r="S134" s="177"/>
      <c r="T134" s="177"/>
      <c r="U134" s="177"/>
      <c r="V134" s="177"/>
      <c r="W134" s="144"/>
      <c r="X134" s="178" t="str">
        <f t="shared" si="25"/>
        <v/>
      </c>
      <c r="Y134" s="179"/>
      <c r="Z134" s="145" t="str">
        <f t="shared" si="26"/>
        <v/>
      </c>
      <c r="AA134" s="146" t="str">
        <f t="shared" si="27"/>
        <v/>
      </c>
      <c r="AB134" s="180"/>
      <c r="AC134" s="156"/>
    </row>
    <row r="135" spans="1:29">
      <c r="A135" t="str">
        <f t="shared" si="20"/>
        <v/>
      </c>
      <c r="B135" t="str">
        <f>Fastest!C135</f>
        <v/>
      </c>
      <c r="C135" t="str">
        <f>Fastest!AB135</f>
        <v/>
      </c>
      <c r="D135" t="str">
        <f>IF(ISNA(Fastest!AC135),"",Fastest!AC135)</f>
        <v/>
      </c>
      <c r="E135" t="str">
        <f t="shared" si="21"/>
        <v/>
      </c>
      <c r="F135" s="95">
        <v>126</v>
      </c>
      <c r="G135" s="174">
        <v>126</v>
      </c>
      <c r="H135" s="175" t="str">
        <f t="shared" si="22"/>
        <v/>
      </c>
      <c r="I135" s="176" t="str">
        <f t="shared" si="23"/>
        <v/>
      </c>
      <c r="J135" s="177"/>
      <c r="K135" s="177"/>
      <c r="L135" s="177"/>
      <c r="M135" s="177"/>
      <c r="N135" s="177"/>
      <c r="O135" s="177"/>
      <c r="P135" s="176" t="str">
        <f t="shared" si="24"/>
        <v/>
      </c>
      <c r="Q135" s="177"/>
      <c r="R135" s="177"/>
      <c r="S135" s="177"/>
      <c r="T135" s="177"/>
      <c r="U135" s="177"/>
      <c r="V135" s="177"/>
      <c r="W135" s="144"/>
      <c r="X135" s="178" t="str">
        <f t="shared" si="25"/>
        <v/>
      </c>
      <c r="Y135" s="179"/>
      <c r="Z135" s="145" t="str">
        <f t="shared" si="26"/>
        <v/>
      </c>
      <c r="AA135" s="146" t="str">
        <f t="shared" si="27"/>
        <v/>
      </c>
      <c r="AB135" s="180"/>
      <c r="AC135" s="156"/>
    </row>
    <row r="136" spans="1:29">
      <c r="A136" t="str">
        <f t="shared" si="20"/>
        <v/>
      </c>
      <c r="B136" t="str">
        <f>Fastest!C136</f>
        <v/>
      </c>
      <c r="C136" t="str">
        <f>Fastest!AB136</f>
        <v/>
      </c>
      <c r="D136" t="str">
        <f>IF(ISNA(Fastest!AC136),"",Fastest!AC136)</f>
        <v/>
      </c>
      <c r="E136" t="str">
        <f t="shared" si="21"/>
        <v/>
      </c>
      <c r="F136" s="95">
        <v>127</v>
      </c>
      <c r="G136" s="174">
        <v>127</v>
      </c>
      <c r="H136" s="175" t="str">
        <f t="shared" si="22"/>
        <v/>
      </c>
      <c r="I136" s="176" t="str">
        <f t="shared" si="23"/>
        <v/>
      </c>
      <c r="J136" s="177"/>
      <c r="K136" s="177"/>
      <c r="L136" s="177"/>
      <c r="M136" s="177"/>
      <c r="N136" s="177"/>
      <c r="O136" s="177"/>
      <c r="P136" s="176" t="str">
        <f t="shared" si="24"/>
        <v/>
      </c>
      <c r="Q136" s="177"/>
      <c r="R136" s="177"/>
      <c r="S136" s="177"/>
      <c r="T136" s="177"/>
      <c r="U136" s="177"/>
      <c r="V136" s="177"/>
      <c r="W136" s="144"/>
      <c r="X136" s="178" t="str">
        <f t="shared" si="25"/>
        <v/>
      </c>
      <c r="Y136" s="179"/>
      <c r="Z136" s="145" t="str">
        <f t="shared" si="26"/>
        <v/>
      </c>
      <c r="AA136" s="146" t="str">
        <f t="shared" si="27"/>
        <v/>
      </c>
      <c r="AB136" s="180"/>
      <c r="AC136" s="156"/>
    </row>
    <row r="137" spans="1:29">
      <c r="A137" t="str">
        <f t="shared" si="20"/>
        <v/>
      </c>
      <c r="B137" t="str">
        <f>Fastest!C137</f>
        <v/>
      </c>
      <c r="C137" t="str">
        <f>Fastest!AB137</f>
        <v/>
      </c>
      <c r="D137" t="str">
        <f>IF(ISNA(Fastest!AC137),"",Fastest!AC137)</f>
        <v/>
      </c>
      <c r="E137" t="str">
        <f t="shared" si="21"/>
        <v/>
      </c>
      <c r="F137" s="95">
        <v>128</v>
      </c>
      <c r="G137" s="174">
        <v>128</v>
      </c>
      <c r="H137" s="175" t="str">
        <f t="shared" si="22"/>
        <v/>
      </c>
      <c r="I137" s="176" t="str">
        <f t="shared" si="23"/>
        <v/>
      </c>
      <c r="J137" s="177"/>
      <c r="K137" s="177"/>
      <c r="L137" s="177"/>
      <c r="M137" s="177"/>
      <c r="N137" s="177"/>
      <c r="O137" s="177"/>
      <c r="P137" s="176" t="str">
        <f t="shared" si="24"/>
        <v/>
      </c>
      <c r="Q137" s="177"/>
      <c r="R137" s="177"/>
      <c r="S137" s="177"/>
      <c r="T137" s="177"/>
      <c r="U137" s="177"/>
      <c r="V137" s="177"/>
      <c r="W137" s="144"/>
      <c r="X137" s="178" t="str">
        <f t="shared" si="25"/>
        <v/>
      </c>
      <c r="Y137" s="179"/>
      <c r="Z137" s="145" t="str">
        <f t="shared" si="26"/>
        <v/>
      </c>
      <c r="AA137" s="146" t="str">
        <f t="shared" si="27"/>
        <v/>
      </c>
      <c r="AB137" s="180"/>
      <c r="AC137" s="156"/>
    </row>
    <row r="138" spans="1:29">
      <c r="A138" t="str">
        <f t="shared" si="20"/>
        <v/>
      </c>
      <c r="B138" t="str">
        <f>Fastest!C138</f>
        <v/>
      </c>
      <c r="C138" t="str">
        <f>Fastest!AB138</f>
        <v/>
      </c>
      <c r="D138" t="str">
        <f>IF(ISNA(Fastest!AC138),"",Fastest!AC138)</f>
        <v/>
      </c>
      <c r="E138" t="str">
        <f t="shared" si="21"/>
        <v/>
      </c>
      <c r="F138" s="95">
        <v>129</v>
      </c>
      <c r="G138" s="174">
        <v>129</v>
      </c>
      <c r="H138" s="175" t="str">
        <f t="shared" ref="H138:H201" si="28">IF(IF(ISNA(VLOOKUP($F138,Vet,2,FALSE)),"",VLOOKUP($F138,Vet,2,FALSE))=0,"",IF(ISNA(VLOOKUP($F138,Vet,2,FALSE)),"",VLOOKUP($F138,Vet,2,FALSE)))</f>
        <v/>
      </c>
      <c r="I138" s="176" t="str">
        <f t="shared" ref="I138:I201" si="29">IF(IF(ISNA(VLOOKUP($H138,Field,2,FALSE)),"",VLOOKUP($H138,Field,2,FALSE))=0,"",IF(ISNA(VLOOKUP($H138,Field,2,FALSE)),"",VLOOKUP($H138,Field,2,FALSE)))</f>
        <v/>
      </c>
      <c r="J138" s="177"/>
      <c r="K138" s="177"/>
      <c r="L138" s="177"/>
      <c r="M138" s="177"/>
      <c r="N138" s="177"/>
      <c r="O138" s="177"/>
      <c r="P138" s="176" t="str">
        <f t="shared" ref="P138:P201" si="30">IF(IF(ISNA(VLOOKUP($H138,Field,3,FALSE)),"",VLOOKUP($H138,Field,3,FALSE))=0,"",IF(ISNA(VLOOKUP($H138,Field,3,FALSE)),"",VLOOKUP($H138,Field,3,FALSE)))</f>
        <v/>
      </c>
      <c r="Q138" s="177"/>
      <c r="R138" s="177"/>
      <c r="S138" s="177"/>
      <c r="T138" s="177"/>
      <c r="U138" s="177"/>
      <c r="V138" s="177"/>
      <c r="W138" s="144"/>
      <c r="X138" s="178" t="str">
        <f t="shared" ref="X138:X201" si="31">IF(IF(ISNA(VLOOKUP($H138,Field,5,FALSE)),"",VLOOKUP($H138,Field,5,FALSE))=0,"",IF(ISNA(VLOOKUP($H138,Field,5,FALSE)),"",VLOOKUP($H138,Field,5,FALSE)))</f>
        <v/>
      </c>
      <c r="Y138" s="179"/>
      <c r="Z138" s="145" t="str">
        <f t="shared" ref="Z138:Z169" si="32">IF(IF(ISNA(VLOOKUP($H138,Field,14,FALSE)),"",VLOOKUP($H138,Field,14,FALSE))=0,"",IF(ISNA(VLOOKUP($H138,Field,14,FALSE)),"",VLOOKUP($H138,Field,14,FALSE)))</f>
        <v/>
      </c>
      <c r="AA138" s="146" t="str">
        <f t="shared" ref="AA138:AA169" si="33">IF(IF(ISNA(VLOOKUP($H138,Field,15,FALSE)),"",VLOOKUP($H138,Field,15,FALSE))=0,"",IF(ISNA(VLOOKUP($H138,Field,15,FALSE)),"",VLOOKUP($H138,Field,15,FALSE)))</f>
        <v/>
      </c>
      <c r="AB138" s="180"/>
      <c r="AC138" s="156"/>
    </row>
    <row r="139" spans="1:29">
      <c r="A139" t="str">
        <f t="shared" ref="A139:A202" si="34">IF(ISERROR(RANK(E139,$E$10:$E$209,0)),"",RANK(E139,$E$10:$E$209,0))</f>
        <v/>
      </c>
      <c r="B139" t="str">
        <f>Fastest!C139</f>
        <v/>
      </c>
      <c r="C139" t="str">
        <f>Fastest!AB139</f>
        <v/>
      </c>
      <c r="D139" t="str">
        <f>IF(ISNA(Fastest!AC139),"",Fastest!AC139)</f>
        <v/>
      </c>
      <c r="E139" t="str">
        <f t="shared" ref="E139:E159" si="35">IF(D139="","",IF(C139="+",D139 + 1 + 0.000000001*ROW(),1 + 0.000000001*ROW()-D139))</f>
        <v/>
      </c>
      <c r="F139" s="95">
        <v>130</v>
      </c>
      <c r="G139" s="174">
        <v>130</v>
      </c>
      <c r="H139" s="175" t="str">
        <f t="shared" si="28"/>
        <v/>
      </c>
      <c r="I139" s="176" t="str">
        <f t="shared" si="29"/>
        <v/>
      </c>
      <c r="J139" s="177"/>
      <c r="K139" s="177"/>
      <c r="L139" s="177"/>
      <c r="M139" s="177"/>
      <c r="N139" s="177"/>
      <c r="O139" s="177"/>
      <c r="P139" s="176" t="str">
        <f t="shared" si="30"/>
        <v/>
      </c>
      <c r="Q139" s="177"/>
      <c r="R139" s="177"/>
      <c r="S139" s="177"/>
      <c r="T139" s="177"/>
      <c r="U139" s="177"/>
      <c r="V139" s="177"/>
      <c r="W139" s="144"/>
      <c r="X139" s="178" t="str">
        <f t="shared" si="31"/>
        <v/>
      </c>
      <c r="Y139" s="179"/>
      <c r="Z139" s="145" t="str">
        <f t="shared" si="32"/>
        <v/>
      </c>
      <c r="AA139" s="146" t="str">
        <f t="shared" si="33"/>
        <v/>
      </c>
      <c r="AB139" s="180"/>
      <c r="AC139" s="156"/>
    </row>
    <row r="140" spans="1:29">
      <c r="A140" t="str">
        <f t="shared" si="34"/>
        <v/>
      </c>
      <c r="B140" t="str">
        <f>Fastest!C140</f>
        <v/>
      </c>
      <c r="C140" t="str">
        <f>Fastest!AB140</f>
        <v/>
      </c>
      <c r="D140" t="str">
        <f>IF(ISNA(Fastest!AC140),"",Fastest!AC140)</f>
        <v/>
      </c>
      <c r="E140" t="str">
        <f t="shared" si="35"/>
        <v/>
      </c>
      <c r="F140" s="95">
        <v>131</v>
      </c>
      <c r="G140" s="174">
        <v>131</v>
      </c>
      <c r="H140" s="175" t="str">
        <f t="shared" si="28"/>
        <v/>
      </c>
      <c r="I140" s="176" t="str">
        <f t="shared" si="29"/>
        <v/>
      </c>
      <c r="J140" s="177"/>
      <c r="K140" s="177"/>
      <c r="L140" s="177"/>
      <c r="M140" s="177"/>
      <c r="N140" s="177"/>
      <c r="O140" s="177"/>
      <c r="P140" s="176" t="str">
        <f t="shared" si="30"/>
        <v/>
      </c>
      <c r="Q140" s="177"/>
      <c r="R140" s="177"/>
      <c r="S140" s="177"/>
      <c r="T140" s="177"/>
      <c r="U140" s="177"/>
      <c r="V140" s="177"/>
      <c r="W140" s="144"/>
      <c r="X140" s="178" t="str">
        <f t="shared" si="31"/>
        <v/>
      </c>
      <c r="Y140" s="179"/>
      <c r="Z140" s="145" t="str">
        <f t="shared" si="32"/>
        <v/>
      </c>
      <c r="AA140" s="146" t="str">
        <f t="shared" si="33"/>
        <v/>
      </c>
      <c r="AB140" s="180"/>
      <c r="AC140" s="156"/>
    </row>
    <row r="141" spans="1:29">
      <c r="A141" t="str">
        <f t="shared" si="34"/>
        <v/>
      </c>
      <c r="B141" t="str">
        <f>Fastest!C141</f>
        <v/>
      </c>
      <c r="C141" t="str">
        <f>Fastest!AB141</f>
        <v/>
      </c>
      <c r="D141" t="str">
        <f>IF(ISNA(Fastest!AC141),"",Fastest!AC141)</f>
        <v/>
      </c>
      <c r="E141" t="str">
        <f t="shared" si="35"/>
        <v/>
      </c>
      <c r="F141" s="95">
        <v>132</v>
      </c>
      <c r="G141" s="174">
        <v>132</v>
      </c>
      <c r="H141" s="175" t="str">
        <f t="shared" si="28"/>
        <v/>
      </c>
      <c r="I141" s="176" t="str">
        <f t="shared" si="29"/>
        <v/>
      </c>
      <c r="J141" s="177"/>
      <c r="K141" s="177"/>
      <c r="L141" s="177"/>
      <c r="M141" s="177"/>
      <c r="N141" s="177"/>
      <c r="O141" s="177"/>
      <c r="P141" s="176" t="str">
        <f t="shared" si="30"/>
        <v/>
      </c>
      <c r="Q141" s="177"/>
      <c r="R141" s="177"/>
      <c r="S141" s="177"/>
      <c r="T141" s="177"/>
      <c r="U141" s="177"/>
      <c r="V141" s="177"/>
      <c r="W141" s="144"/>
      <c r="X141" s="178" t="str">
        <f t="shared" si="31"/>
        <v/>
      </c>
      <c r="Y141" s="179"/>
      <c r="Z141" s="145" t="str">
        <f t="shared" si="32"/>
        <v/>
      </c>
      <c r="AA141" s="146" t="str">
        <f t="shared" si="33"/>
        <v/>
      </c>
      <c r="AB141" s="180"/>
      <c r="AC141" s="156"/>
    </row>
    <row r="142" spans="1:29">
      <c r="A142" t="str">
        <f t="shared" si="34"/>
        <v/>
      </c>
      <c r="B142" t="str">
        <f>Fastest!C142</f>
        <v/>
      </c>
      <c r="C142" t="str">
        <f>Fastest!AB142</f>
        <v/>
      </c>
      <c r="D142" t="str">
        <f>IF(ISNA(Fastest!AC142),"",Fastest!AC142)</f>
        <v/>
      </c>
      <c r="E142" t="str">
        <f t="shared" si="35"/>
        <v/>
      </c>
      <c r="F142" s="95">
        <v>133</v>
      </c>
      <c r="G142" s="174">
        <v>133</v>
      </c>
      <c r="H142" s="175" t="str">
        <f t="shared" si="28"/>
        <v/>
      </c>
      <c r="I142" s="176" t="str">
        <f t="shared" si="29"/>
        <v/>
      </c>
      <c r="J142" s="177"/>
      <c r="K142" s="177"/>
      <c r="L142" s="177"/>
      <c r="M142" s="177"/>
      <c r="N142" s="177"/>
      <c r="O142" s="177"/>
      <c r="P142" s="176" t="str">
        <f t="shared" si="30"/>
        <v/>
      </c>
      <c r="Q142" s="177"/>
      <c r="R142" s="177"/>
      <c r="S142" s="177"/>
      <c r="T142" s="177"/>
      <c r="U142" s="177"/>
      <c r="V142" s="177"/>
      <c r="W142" s="144"/>
      <c r="X142" s="178" t="str">
        <f t="shared" si="31"/>
        <v/>
      </c>
      <c r="Y142" s="179"/>
      <c r="Z142" s="145" t="str">
        <f t="shared" si="32"/>
        <v/>
      </c>
      <c r="AA142" s="146" t="str">
        <f t="shared" si="33"/>
        <v/>
      </c>
      <c r="AB142" s="180"/>
      <c r="AC142" s="156"/>
    </row>
    <row r="143" spans="1:29">
      <c r="A143" t="str">
        <f t="shared" si="34"/>
        <v/>
      </c>
      <c r="B143" t="str">
        <f>Fastest!C143</f>
        <v/>
      </c>
      <c r="C143" t="str">
        <f>Fastest!AB143</f>
        <v/>
      </c>
      <c r="D143" t="str">
        <f>IF(ISNA(Fastest!AC143),"",Fastest!AC143)</f>
        <v/>
      </c>
      <c r="E143" t="str">
        <f t="shared" si="35"/>
        <v/>
      </c>
      <c r="F143" s="95">
        <v>134</v>
      </c>
      <c r="G143" s="174">
        <v>134</v>
      </c>
      <c r="H143" s="175" t="str">
        <f t="shared" si="28"/>
        <v/>
      </c>
      <c r="I143" s="176" t="str">
        <f t="shared" si="29"/>
        <v/>
      </c>
      <c r="J143" s="177"/>
      <c r="K143" s="177"/>
      <c r="L143" s="177"/>
      <c r="M143" s="177"/>
      <c r="N143" s="177"/>
      <c r="O143" s="177"/>
      <c r="P143" s="176" t="str">
        <f t="shared" si="30"/>
        <v/>
      </c>
      <c r="Q143" s="177"/>
      <c r="R143" s="177"/>
      <c r="S143" s="177"/>
      <c r="T143" s="177"/>
      <c r="U143" s="177"/>
      <c r="V143" s="177"/>
      <c r="W143" s="144"/>
      <c r="X143" s="178" t="str">
        <f t="shared" si="31"/>
        <v/>
      </c>
      <c r="Y143" s="179"/>
      <c r="Z143" s="145" t="str">
        <f t="shared" si="32"/>
        <v/>
      </c>
      <c r="AA143" s="146" t="str">
        <f t="shared" si="33"/>
        <v/>
      </c>
      <c r="AB143" s="180"/>
      <c r="AC143" s="156"/>
    </row>
    <row r="144" spans="1:29">
      <c r="A144" t="str">
        <f t="shared" si="34"/>
        <v/>
      </c>
      <c r="B144" t="str">
        <f>Fastest!C144</f>
        <v/>
      </c>
      <c r="C144" t="str">
        <f>Fastest!AB144</f>
        <v/>
      </c>
      <c r="D144" t="str">
        <f>IF(ISNA(Fastest!AC144),"",Fastest!AC144)</f>
        <v/>
      </c>
      <c r="E144" t="str">
        <f t="shared" si="35"/>
        <v/>
      </c>
      <c r="F144" s="95">
        <v>135</v>
      </c>
      <c r="G144" s="174">
        <v>135</v>
      </c>
      <c r="H144" s="175" t="str">
        <f t="shared" si="28"/>
        <v/>
      </c>
      <c r="I144" s="176" t="str">
        <f t="shared" si="29"/>
        <v/>
      </c>
      <c r="J144" s="177"/>
      <c r="K144" s="177"/>
      <c r="L144" s="177"/>
      <c r="M144" s="177"/>
      <c r="N144" s="177"/>
      <c r="O144" s="177"/>
      <c r="P144" s="176" t="str">
        <f t="shared" si="30"/>
        <v/>
      </c>
      <c r="Q144" s="177"/>
      <c r="R144" s="177"/>
      <c r="S144" s="177"/>
      <c r="T144" s="177"/>
      <c r="U144" s="177"/>
      <c r="V144" s="177"/>
      <c r="W144" s="144"/>
      <c r="X144" s="178" t="str">
        <f t="shared" si="31"/>
        <v/>
      </c>
      <c r="Y144" s="179"/>
      <c r="Z144" s="145" t="str">
        <f t="shared" si="32"/>
        <v/>
      </c>
      <c r="AA144" s="146" t="str">
        <f t="shared" si="33"/>
        <v/>
      </c>
      <c r="AB144" s="180"/>
      <c r="AC144" s="156"/>
    </row>
    <row r="145" spans="1:29">
      <c r="A145" t="str">
        <f t="shared" si="34"/>
        <v/>
      </c>
      <c r="B145" t="str">
        <f>Fastest!C145</f>
        <v/>
      </c>
      <c r="C145" t="str">
        <f>Fastest!AB145</f>
        <v/>
      </c>
      <c r="D145" t="str">
        <f>IF(ISNA(Fastest!AC145),"",Fastest!AC145)</f>
        <v/>
      </c>
      <c r="E145" t="str">
        <f t="shared" si="35"/>
        <v/>
      </c>
      <c r="F145" s="95">
        <v>136</v>
      </c>
      <c r="G145" s="174">
        <v>136</v>
      </c>
      <c r="H145" s="175" t="str">
        <f t="shared" si="28"/>
        <v/>
      </c>
      <c r="I145" s="176" t="str">
        <f t="shared" si="29"/>
        <v/>
      </c>
      <c r="J145" s="177"/>
      <c r="K145" s="177"/>
      <c r="L145" s="177"/>
      <c r="M145" s="177"/>
      <c r="N145" s="177"/>
      <c r="O145" s="177"/>
      <c r="P145" s="176" t="str">
        <f t="shared" si="30"/>
        <v/>
      </c>
      <c r="Q145" s="177"/>
      <c r="R145" s="177"/>
      <c r="S145" s="177"/>
      <c r="T145" s="177"/>
      <c r="U145" s="177"/>
      <c r="V145" s="177"/>
      <c r="W145" s="144"/>
      <c r="X145" s="178" t="str">
        <f t="shared" si="31"/>
        <v/>
      </c>
      <c r="Y145" s="179"/>
      <c r="Z145" s="145" t="str">
        <f t="shared" si="32"/>
        <v/>
      </c>
      <c r="AA145" s="146" t="str">
        <f t="shared" si="33"/>
        <v/>
      </c>
      <c r="AB145" s="180"/>
      <c r="AC145" s="156"/>
    </row>
    <row r="146" spans="1:29">
      <c r="A146" t="str">
        <f t="shared" si="34"/>
        <v/>
      </c>
      <c r="B146" t="str">
        <f>Fastest!C146</f>
        <v/>
      </c>
      <c r="C146" t="str">
        <f>Fastest!AB146</f>
        <v/>
      </c>
      <c r="D146" t="str">
        <f>IF(ISNA(Fastest!AC146),"",Fastest!AC146)</f>
        <v/>
      </c>
      <c r="E146" t="str">
        <f t="shared" si="35"/>
        <v/>
      </c>
      <c r="F146" s="95">
        <v>137</v>
      </c>
      <c r="G146" s="174">
        <v>137</v>
      </c>
      <c r="H146" s="175" t="str">
        <f t="shared" si="28"/>
        <v/>
      </c>
      <c r="I146" s="176" t="str">
        <f t="shared" si="29"/>
        <v/>
      </c>
      <c r="J146" s="177"/>
      <c r="K146" s="177"/>
      <c r="L146" s="177"/>
      <c r="M146" s="177"/>
      <c r="N146" s="177"/>
      <c r="O146" s="177"/>
      <c r="P146" s="176" t="str">
        <f t="shared" si="30"/>
        <v/>
      </c>
      <c r="Q146" s="177"/>
      <c r="R146" s="177"/>
      <c r="S146" s="177"/>
      <c r="T146" s="177"/>
      <c r="U146" s="177"/>
      <c r="V146" s="177"/>
      <c r="W146" s="144"/>
      <c r="X146" s="178" t="str">
        <f t="shared" si="31"/>
        <v/>
      </c>
      <c r="Y146" s="179"/>
      <c r="Z146" s="145" t="str">
        <f t="shared" si="32"/>
        <v/>
      </c>
      <c r="AA146" s="146" t="str">
        <f t="shared" si="33"/>
        <v/>
      </c>
      <c r="AB146" s="180"/>
      <c r="AC146" s="156"/>
    </row>
    <row r="147" spans="1:29">
      <c r="A147" t="str">
        <f t="shared" si="34"/>
        <v/>
      </c>
      <c r="B147" t="str">
        <f>Fastest!C147</f>
        <v/>
      </c>
      <c r="C147" t="str">
        <f>Fastest!AB147</f>
        <v/>
      </c>
      <c r="D147" t="str">
        <f>IF(ISNA(Fastest!AC147),"",Fastest!AC147)</f>
        <v/>
      </c>
      <c r="E147" t="str">
        <f t="shared" si="35"/>
        <v/>
      </c>
      <c r="F147" s="95">
        <v>138</v>
      </c>
      <c r="G147" s="174">
        <v>138</v>
      </c>
      <c r="H147" s="175" t="str">
        <f t="shared" si="28"/>
        <v/>
      </c>
      <c r="I147" s="176" t="str">
        <f t="shared" si="29"/>
        <v/>
      </c>
      <c r="J147" s="177"/>
      <c r="K147" s="177"/>
      <c r="L147" s="177"/>
      <c r="M147" s="177"/>
      <c r="N147" s="177"/>
      <c r="O147" s="177"/>
      <c r="P147" s="176" t="str">
        <f t="shared" si="30"/>
        <v/>
      </c>
      <c r="Q147" s="177"/>
      <c r="R147" s="177"/>
      <c r="S147" s="177"/>
      <c r="T147" s="177"/>
      <c r="U147" s="177"/>
      <c r="V147" s="177"/>
      <c r="W147" s="144"/>
      <c r="X147" s="178" t="str">
        <f t="shared" si="31"/>
        <v/>
      </c>
      <c r="Y147" s="179"/>
      <c r="Z147" s="145" t="str">
        <f t="shared" si="32"/>
        <v/>
      </c>
      <c r="AA147" s="146" t="str">
        <f t="shared" si="33"/>
        <v/>
      </c>
      <c r="AB147" s="180"/>
      <c r="AC147" s="156"/>
    </row>
    <row r="148" spans="1:29">
      <c r="A148" t="str">
        <f t="shared" si="34"/>
        <v/>
      </c>
      <c r="B148" t="str">
        <f>Fastest!C148</f>
        <v/>
      </c>
      <c r="C148" t="str">
        <f>Fastest!AB148</f>
        <v/>
      </c>
      <c r="D148" t="str">
        <f>IF(ISNA(Fastest!AC148),"",Fastest!AC148)</f>
        <v/>
      </c>
      <c r="E148" t="str">
        <f t="shared" si="35"/>
        <v/>
      </c>
      <c r="F148" s="95">
        <v>139</v>
      </c>
      <c r="G148" s="174">
        <v>139</v>
      </c>
      <c r="H148" s="175" t="str">
        <f t="shared" si="28"/>
        <v/>
      </c>
      <c r="I148" s="176" t="str">
        <f t="shared" si="29"/>
        <v/>
      </c>
      <c r="J148" s="177"/>
      <c r="K148" s="177"/>
      <c r="L148" s="177"/>
      <c r="M148" s="177"/>
      <c r="N148" s="177"/>
      <c r="O148" s="177"/>
      <c r="P148" s="176" t="str">
        <f t="shared" si="30"/>
        <v/>
      </c>
      <c r="Q148" s="177"/>
      <c r="R148" s="177"/>
      <c r="S148" s="177"/>
      <c r="T148" s="177"/>
      <c r="U148" s="177"/>
      <c r="V148" s="177"/>
      <c r="W148" s="144"/>
      <c r="X148" s="178" t="str">
        <f t="shared" si="31"/>
        <v/>
      </c>
      <c r="Y148" s="179"/>
      <c r="Z148" s="145" t="str">
        <f t="shared" si="32"/>
        <v/>
      </c>
      <c r="AA148" s="146" t="str">
        <f t="shared" si="33"/>
        <v/>
      </c>
      <c r="AB148" s="180"/>
      <c r="AC148" s="156"/>
    </row>
    <row r="149" spans="1:29">
      <c r="A149" t="str">
        <f t="shared" si="34"/>
        <v/>
      </c>
      <c r="B149" t="str">
        <f>Fastest!C149</f>
        <v/>
      </c>
      <c r="C149" t="str">
        <f>Fastest!AB149</f>
        <v/>
      </c>
      <c r="D149" t="str">
        <f>IF(ISNA(Fastest!AC149),"",Fastest!AC149)</f>
        <v/>
      </c>
      <c r="E149" t="str">
        <f t="shared" si="35"/>
        <v/>
      </c>
      <c r="F149" s="95">
        <v>140</v>
      </c>
      <c r="G149" s="174">
        <v>140</v>
      </c>
      <c r="H149" s="175" t="str">
        <f t="shared" si="28"/>
        <v/>
      </c>
      <c r="I149" s="176" t="str">
        <f t="shared" si="29"/>
        <v/>
      </c>
      <c r="J149" s="177"/>
      <c r="K149" s="177"/>
      <c r="L149" s="177"/>
      <c r="M149" s="177"/>
      <c r="N149" s="177"/>
      <c r="O149" s="177"/>
      <c r="P149" s="176" t="str">
        <f t="shared" si="30"/>
        <v/>
      </c>
      <c r="Q149" s="177"/>
      <c r="R149" s="177"/>
      <c r="S149" s="177"/>
      <c r="T149" s="177"/>
      <c r="U149" s="177"/>
      <c r="V149" s="177"/>
      <c r="W149" s="144"/>
      <c r="X149" s="178" t="str">
        <f t="shared" si="31"/>
        <v/>
      </c>
      <c r="Y149" s="179"/>
      <c r="Z149" s="145" t="str">
        <f t="shared" si="32"/>
        <v/>
      </c>
      <c r="AA149" s="146" t="str">
        <f t="shared" si="33"/>
        <v/>
      </c>
      <c r="AB149" s="180"/>
      <c r="AC149" s="156"/>
    </row>
    <row r="150" spans="1:29">
      <c r="A150" t="str">
        <f t="shared" si="34"/>
        <v/>
      </c>
      <c r="B150" t="str">
        <f>Fastest!C150</f>
        <v/>
      </c>
      <c r="C150" t="str">
        <f>Fastest!AB150</f>
        <v/>
      </c>
      <c r="D150" t="str">
        <f>IF(ISNA(Fastest!AC150),"",Fastest!AC150)</f>
        <v/>
      </c>
      <c r="E150" t="str">
        <f t="shared" si="35"/>
        <v/>
      </c>
      <c r="F150" s="95">
        <v>141</v>
      </c>
      <c r="G150" s="174">
        <v>141</v>
      </c>
      <c r="H150" s="175" t="str">
        <f t="shared" si="28"/>
        <v/>
      </c>
      <c r="I150" s="176" t="str">
        <f t="shared" si="29"/>
        <v/>
      </c>
      <c r="J150" s="177"/>
      <c r="K150" s="177"/>
      <c r="L150" s="177"/>
      <c r="M150" s="177"/>
      <c r="N150" s="177"/>
      <c r="O150" s="177"/>
      <c r="P150" s="176" t="str">
        <f t="shared" si="30"/>
        <v/>
      </c>
      <c r="Q150" s="177"/>
      <c r="R150" s="177"/>
      <c r="S150" s="177"/>
      <c r="T150" s="177"/>
      <c r="U150" s="177"/>
      <c r="V150" s="177"/>
      <c r="W150" s="144"/>
      <c r="X150" s="178" t="str">
        <f t="shared" si="31"/>
        <v/>
      </c>
      <c r="Y150" s="179"/>
      <c r="Z150" s="145" t="str">
        <f t="shared" si="32"/>
        <v/>
      </c>
      <c r="AA150" s="146" t="str">
        <f t="shared" si="33"/>
        <v/>
      </c>
      <c r="AB150" s="180"/>
      <c r="AC150" s="156"/>
    </row>
    <row r="151" spans="1:29">
      <c r="A151" t="str">
        <f t="shared" si="34"/>
        <v/>
      </c>
      <c r="B151" t="str">
        <f>Fastest!C151</f>
        <v/>
      </c>
      <c r="C151" t="str">
        <f>Fastest!AB151</f>
        <v/>
      </c>
      <c r="D151" t="str">
        <f>IF(ISNA(Fastest!AC151),"",Fastest!AC151)</f>
        <v/>
      </c>
      <c r="E151" t="str">
        <f t="shared" si="35"/>
        <v/>
      </c>
      <c r="F151" s="95">
        <v>142</v>
      </c>
      <c r="G151" s="174">
        <v>142</v>
      </c>
      <c r="H151" s="175" t="str">
        <f t="shared" si="28"/>
        <v/>
      </c>
      <c r="I151" s="176" t="str">
        <f t="shared" si="29"/>
        <v/>
      </c>
      <c r="J151" s="177"/>
      <c r="K151" s="177"/>
      <c r="L151" s="177"/>
      <c r="M151" s="177"/>
      <c r="N151" s="177"/>
      <c r="O151" s="177"/>
      <c r="P151" s="176" t="str">
        <f t="shared" si="30"/>
        <v/>
      </c>
      <c r="Q151" s="177"/>
      <c r="R151" s="177"/>
      <c r="S151" s="177"/>
      <c r="T151" s="177"/>
      <c r="U151" s="177"/>
      <c r="V151" s="177"/>
      <c r="W151" s="144"/>
      <c r="X151" s="178" t="str">
        <f t="shared" si="31"/>
        <v/>
      </c>
      <c r="Y151" s="179"/>
      <c r="Z151" s="145" t="str">
        <f t="shared" si="32"/>
        <v/>
      </c>
      <c r="AA151" s="146" t="str">
        <f t="shared" si="33"/>
        <v/>
      </c>
      <c r="AB151" s="180"/>
      <c r="AC151" s="156"/>
    </row>
    <row r="152" spans="1:29">
      <c r="A152" t="str">
        <f t="shared" si="34"/>
        <v/>
      </c>
      <c r="B152" t="str">
        <f>Fastest!C152</f>
        <v/>
      </c>
      <c r="C152" t="str">
        <f>Fastest!AB152</f>
        <v/>
      </c>
      <c r="D152" t="str">
        <f>IF(ISNA(Fastest!AC152),"",Fastest!AC152)</f>
        <v/>
      </c>
      <c r="E152" t="str">
        <f t="shared" si="35"/>
        <v/>
      </c>
      <c r="F152" s="95">
        <v>143</v>
      </c>
      <c r="G152" s="174">
        <v>143</v>
      </c>
      <c r="H152" s="175" t="str">
        <f t="shared" si="28"/>
        <v/>
      </c>
      <c r="I152" s="176" t="str">
        <f t="shared" si="29"/>
        <v/>
      </c>
      <c r="J152" s="177"/>
      <c r="K152" s="177"/>
      <c r="L152" s="177"/>
      <c r="M152" s="177"/>
      <c r="N152" s="177"/>
      <c r="O152" s="177"/>
      <c r="P152" s="176" t="str">
        <f t="shared" si="30"/>
        <v/>
      </c>
      <c r="Q152" s="177"/>
      <c r="R152" s="177"/>
      <c r="S152" s="177"/>
      <c r="T152" s="177"/>
      <c r="U152" s="177"/>
      <c r="V152" s="177"/>
      <c r="W152" s="144"/>
      <c r="X152" s="178" t="str">
        <f t="shared" si="31"/>
        <v/>
      </c>
      <c r="Y152" s="179"/>
      <c r="Z152" s="145" t="str">
        <f t="shared" si="32"/>
        <v/>
      </c>
      <c r="AA152" s="146" t="str">
        <f t="shared" si="33"/>
        <v/>
      </c>
      <c r="AB152" s="180"/>
      <c r="AC152" s="156"/>
    </row>
    <row r="153" spans="1:29">
      <c r="A153" t="str">
        <f t="shared" si="34"/>
        <v/>
      </c>
      <c r="B153" t="str">
        <f>Fastest!C153</f>
        <v/>
      </c>
      <c r="C153" t="str">
        <f>Fastest!AB153</f>
        <v/>
      </c>
      <c r="D153" t="str">
        <f>IF(ISNA(Fastest!AC153),"",Fastest!AC153)</f>
        <v/>
      </c>
      <c r="E153" t="str">
        <f t="shared" si="35"/>
        <v/>
      </c>
      <c r="F153" s="95">
        <v>144</v>
      </c>
      <c r="G153" s="174">
        <v>144</v>
      </c>
      <c r="H153" s="175" t="str">
        <f t="shared" si="28"/>
        <v/>
      </c>
      <c r="I153" s="176" t="str">
        <f t="shared" si="29"/>
        <v/>
      </c>
      <c r="J153" s="177"/>
      <c r="K153" s="177"/>
      <c r="L153" s="177"/>
      <c r="M153" s="177"/>
      <c r="N153" s="177"/>
      <c r="O153" s="177"/>
      <c r="P153" s="176" t="str">
        <f t="shared" si="30"/>
        <v/>
      </c>
      <c r="Q153" s="177"/>
      <c r="R153" s="177"/>
      <c r="S153" s="177"/>
      <c r="T153" s="177"/>
      <c r="U153" s="177"/>
      <c r="V153" s="177"/>
      <c r="W153" s="144"/>
      <c r="X153" s="178" t="str">
        <f t="shared" si="31"/>
        <v/>
      </c>
      <c r="Y153" s="179"/>
      <c r="Z153" s="145" t="str">
        <f t="shared" si="32"/>
        <v/>
      </c>
      <c r="AA153" s="146" t="str">
        <f t="shared" si="33"/>
        <v/>
      </c>
      <c r="AB153" s="180"/>
      <c r="AC153" s="156"/>
    </row>
    <row r="154" spans="1:29">
      <c r="A154" t="str">
        <f t="shared" si="34"/>
        <v/>
      </c>
      <c r="B154" t="str">
        <f>Fastest!C154</f>
        <v/>
      </c>
      <c r="C154" t="str">
        <f>Fastest!AB154</f>
        <v/>
      </c>
      <c r="D154" t="str">
        <f>IF(ISNA(Fastest!AC154),"",Fastest!AC154)</f>
        <v/>
      </c>
      <c r="E154" t="str">
        <f t="shared" si="35"/>
        <v/>
      </c>
      <c r="F154" s="95">
        <v>145</v>
      </c>
      <c r="G154" s="174">
        <v>145</v>
      </c>
      <c r="H154" s="175" t="str">
        <f t="shared" si="28"/>
        <v/>
      </c>
      <c r="I154" s="176" t="str">
        <f t="shared" si="29"/>
        <v/>
      </c>
      <c r="J154" s="177"/>
      <c r="K154" s="177"/>
      <c r="L154" s="177"/>
      <c r="M154" s="177"/>
      <c r="N154" s="177"/>
      <c r="O154" s="177"/>
      <c r="P154" s="176" t="str">
        <f t="shared" si="30"/>
        <v/>
      </c>
      <c r="Q154" s="177"/>
      <c r="R154" s="177"/>
      <c r="S154" s="177"/>
      <c r="T154" s="177"/>
      <c r="U154" s="177"/>
      <c r="V154" s="177"/>
      <c r="W154" s="144"/>
      <c r="X154" s="178" t="str">
        <f t="shared" si="31"/>
        <v/>
      </c>
      <c r="Y154" s="179"/>
      <c r="Z154" s="145" t="str">
        <f t="shared" si="32"/>
        <v/>
      </c>
      <c r="AA154" s="146" t="str">
        <f t="shared" si="33"/>
        <v/>
      </c>
      <c r="AB154" s="180"/>
      <c r="AC154" s="156"/>
    </row>
    <row r="155" spans="1:29">
      <c r="A155" t="str">
        <f t="shared" si="34"/>
        <v/>
      </c>
      <c r="B155" t="str">
        <f>Fastest!C155</f>
        <v/>
      </c>
      <c r="C155" t="str">
        <f>Fastest!AB155</f>
        <v/>
      </c>
      <c r="D155" t="str">
        <f>IF(ISNA(Fastest!AC155),"",Fastest!AC155)</f>
        <v/>
      </c>
      <c r="E155" t="str">
        <f t="shared" si="35"/>
        <v/>
      </c>
      <c r="F155" s="95">
        <v>146</v>
      </c>
      <c r="G155" s="174">
        <v>146</v>
      </c>
      <c r="H155" s="175" t="str">
        <f t="shared" si="28"/>
        <v/>
      </c>
      <c r="I155" s="176" t="str">
        <f t="shared" si="29"/>
        <v/>
      </c>
      <c r="J155" s="177"/>
      <c r="K155" s="177"/>
      <c r="L155" s="177"/>
      <c r="M155" s="177"/>
      <c r="N155" s="177"/>
      <c r="O155" s="177"/>
      <c r="P155" s="176" t="str">
        <f t="shared" si="30"/>
        <v/>
      </c>
      <c r="Q155" s="177"/>
      <c r="R155" s="177"/>
      <c r="S155" s="177"/>
      <c r="T155" s="177"/>
      <c r="U155" s="177"/>
      <c r="V155" s="177"/>
      <c r="W155" s="144"/>
      <c r="X155" s="178" t="str">
        <f t="shared" si="31"/>
        <v/>
      </c>
      <c r="Y155" s="179"/>
      <c r="Z155" s="145" t="str">
        <f t="shared" si="32"/>
        <v/>
      </c>
      <c r="AA155" s="146" t="str">
        <f t="shared" si="33"/>
        <v/>
      </c>
      <c r="AB155" s="180"/>
      <c r="AC155" s="156"/>
    </row>
    <row r="156" spans="1:29">
      <c r="A156" t="str">
        <f t="shared" si="34"/>
        <v/>
      </c>
      <c r="B156" t="str">
        <f>Fastest!C156</f>
        <v/>
      </c>
      <c r="C156" t="str">
        <f>Fastest!AB156</f>
        <v/>
      </c>
      <c r="D156" t="str">
        <f>IF(ISNA(Fastest!AC156),"",Fastest!AC156)</f>
        <v/>
      </c>
      <c r="E156" t="str">
        <f t="shared" si="35"/>
        <v/>
      </c>
      <c r="F156" s="95">
        <v>147</v>
      </c>
      <c r="G156" s="174">
        <v>147</v>
      </c>
      <c r="H156" s="175" t="str">
        <f t="shared" si="28"/>
        <v/>
      </c>
      <c r="I156" s="176" t="str">
        <f t="shared" si="29"/>
        <v/>
      </c>
      <c r="J156" s="177"/>
      <c r="K156" s="177"/>
      <c r="L156" s="177"/>
      <c r="M156" s="177"/>
      <c r="N156" s="177"/>
      <c r="O156" s="177"/>
      <c r="P156" s="176" t="str">
        <f t="shared" si="30"/>
        <v/>
      </c>
      <c r="Q156" s="177"/>
      <c r="R156" s="177"/>
      <c r="S156" s="177"/>
      <c r="T156" s="177"/>
      <c r="U156" s="177"/>
      <c r="V156" s="177"/>
      <c r="W156" s="144"/>
      <c r="X156" s="178" t="str">
        <f t="shared" si="31"/>
        <v/>
      </c>
      <c r="Y156" s="179"/>
      <c r="Z156" s="145" t="str">
        <f t="shared" si="32"/>
        <v/>
      </c>
      <c r="AA156" s="146" t="str">
        <f t="shared" si="33"/>
        <v/>
      </c>
      <c r="AB156" s="180"/>
      <c r="AC156" s="156"/>
    </row>
    <row r="157" spans="1:29">
      <c r="A157" t="str">
        <f t="shared" si="34"/>
        <v/>
      </c>
      <c r="B157" t="str">
        <f>Fastest!C157</f>
        <v/>
      </c>
      <c r="C157" t="str">
        <f>Fastest!AB157</f>
        <v/>
      </c>
      <c r="D157" t="str">
        <f>IF(ISNA(Fastest!AC157),"",Fastest!AC157)</f>
        <v/>
      </c>
      <c r="E157" t="str">
        <f t="shared" si="35"/>
        <v/>
      </c>
      <c r="F157" s="111">
        <v>148</v>
      </c>
      <c r="G157" s="174">
        <v>148</v>
      </c>
      <c r="H157" s="175" t="str">
        <f t="shared" si="28"/>
        <v/>
      </c>
      <c r="I157" s="176" t="str">
        <f t="shared" si="29"/>
        <v/>
      </c>
      <c r="J157" s="177"/>
      <c r="K157" s="177"/>
      <c r="L157" s="177"/>
      <c r="M157" s="177"/>
      <c r="N157" s="177"/>
      <c r="O157" s="177"/>
      <c r="P157" s="176" t="str">
        <f t="shared" si="30"/>
        <v/>
      </c>
      <c r="Q157" s="177"/>
      <c r="R157" s="177"/>
      <c r="S157" s="177"/>
      <c r="T157" s="177"/>
      <c r="U157" s="177"/>
      <c r="V157" s="177"/>
      <c r="W157" s="144"/>
      <c r="X157" s="178" t="str">
        <f t="shared" si="31"/>
        <v/>
      </c>
      <c r="Y157" s="179"/>
      <c r="Z157" s="145" t="str">
        <f t="shared" si="32"/>
        <v/>
      </c>
      <c r="AA157" s="146" t="str">
        <f t="shared" si="33"/>
        <v/>
      </c>
      <c r="AB157" s="180"/>
      <c r="AC157" s="156"/>
    </row>
    <row r="158" spans="1:29">
      <c r="A158" t="str">
        <f t="shared" si="34"/>
        <v/>
      </c>
      <c r="B158" t="str">
        <f>Fastest!C158</f>
        <v/>
      </c>
      <c r="C158" t="str">
        <f>Fastest!AB158</f>
        <v/>
      </c>
      <c r="D158" t="str">
        <f>IF(ISNA(Fastest!AC158),"",Fastest!AC158)</f>
        <v/>
      </c>
      <c r="E158" t="str">
        <f t="shared" si="35"/>
        <v/>
      </c>
      <c r="F158" s="111">
        <v>149</v>
      </c>
      <c r="G158" s="174">
        <v>149</v>
      </c>
      <c r="H158" s="175" t="str">
        <f t="shared" si="28"/>
        <v/>
      </c>
      <c r="I158" s="176" t="str">
        <f t="shared" si="29"/>
        <v/>
      </c>
      <c r="J158" s="177"/>
      <c r="K158" s="177"/>
      <c r="L158" s="177"/>
      <c r="M158" s="177"/>
      <c r="N158" s="177"/>
      <c r="O158" s="177"/>
      <c r="P158" s="176" t="str">
        <f t="shared" si="30"/>
        <v/>
      </c>
      <c r="Q158" s="177"/>
      <c r="R158" s="177"/>
      <c r="S158" s="177"/>
      <c r="T158" s="177"/>
      <c r="U158" s="177"/>
      <c r="V158" s="177"/>
      <c r="W158" s="144"/>
      <c r="X158" s="178" t="str">
        <f t="shared" si="31"/>
        <v/>
      </c>
      <c r="Y158" s="179"/>
      <c r="Z158" s="145" t="str">
        <f t="shared" si="32"/>
        <v/>
      </c>
      <c r="AA158" s="146" t="str">
        <f t="shared" si="33"/>
        <v/>
      </c>
      <c r="AB158" s="180"/>
      <c r="AC158" s="156"/>
    </row>
    <row r="159" spans="1:29">
      <c r="A159" t="str">
        <f t="shared" si="34"/>
        <v/>
      </c>
      <c r="B159" t="str">
        <f>Fastest!C159</f>
        <v/>
      </c>
      <c r="C159" t="str">
        <f>Fastest!AB159</f>
        <v/>
      </c>
      <c r="D159" t="str">
        <f>IF(ISNA(Fastest!AC159),"",Fastest!AC159)</f>
        <v/>
      </c>
      <c r="E159" t="str">
        <f t="shared" si="35"/>
        <v/>
      </c>
      <c r="F159" s="111">
        <v>150</v>
      </c>
      <c r="G159" s="174">
        <v>150</v>
      </c>
      <c r="H159" s="175" t="str">
        <f t="shared" si="28"/>
        <v/>
      </c>
      <c r="I159" s="176" t="str">
        <f t="shared" si="29"/>
        <v/>
      </c>
      <c r="J159" s="177"/>
      <c r="K159" s="177"/>
      <c r="L159" s="177"/>
      <c r="M159" s="177"/>
      <c r="N159" s="177"/>
      <c r="O159" s="144"/>
      <c r="P159" s="176" t="str">
        <f t="shared" si="30"/>
        <v/>
      </c>
      <c r="Q159" s="177"/>
      <c r="R159" s="177"/>
      <c r="S159" s="177"/>
      <c r="T159" s="177"/>
      <c r="U159" s="177"/>
      <c r="V159" s="177"/>
      <c r="W159" s="144"/>
      <c r="X159" s="178" t="str">
        <f t="shared" si="31"/>
        <v/>
      </c>
      <c r="Y159" s="179"/>
      <c r="Z159" s="145" t="str">
        <f t="shared" si="32"/>
        <v/>
      </c>
      <c r="AA159" s="146" t="str">
        <f t="shared" si="33"/>
        <v/>
      </c>
      <c r="AB159" s="180"/>
      <c r="AC159" s="156"/>
    </row>
    <row r="160" spans="1:29">
      <c r="A160" t="str">
        <f t="shared" si="34"/>
        <v/>
      </c>
      <c r="B160" t="str">
        <f>Fastest!C160</f>
        <v/>
      </c>
      <c r="C160" t="str">
        <f>Fastest!AB160</f>
        <v/>
      </c>
      <c r="D160" t="str">
        <f>IF(ISNA(Fastest!AC160),"",Fastest!AC160)</f>
        <v/>
      </c>
      <c r="E160" t="str">
        <f t="shared" ref="E160:E179" si="36">IF(D160="","",IF(C160="+",D160 + 1 + 0.000000001*ROW(),1 + 0.000000001*ROW()-D160))</f>
        <v/>
      </c>
      <c r="F160" s="111">
        <v>151</v>
      </c>
      <c r="G160" s="174">
        <v>151</v>
      </c>
      <c r="H160" s="175" t="str">
        <f t="shared" si="28"/>
        <v/>
      </c>
      <c r="I160" s="176" t="str">
        <f t="shared" si="29"/>
        <v/>
      </c>
      <c r="J160" s="177"/>
      <c r="K160" s="177"/>
      <c r="L160" s="177"/>
      <c r="M160" s="177"/>
      <c r="N160" s="177"/>
      <c r="O160" s="144"/>
      <c r="P160" s="176" t="str">
        <f t="shared" si="30"/>
        <v/>
      </c>
      <c r="Q160" s="177"/>
      <c r="R160" s="177"/>
      <c r="S160" s="177"/>
      <c r="T160" s="177"/>
      <c r="U160" s="177"/>
      <c r="V160" s="177"/>
      <c r="W160" s="144"/>
      <c r="X160" s="178" t="str">
        <f t="shared" si="31"/>
        <v/>
      </c>
      <c r="Y160" s="179"/>
      <c r="Z160" s="145" t="str">
        <f t="shared" si="32"/>
        <v/>
      </c>
      <c r="AA160" s="146" t="str">
        <f t="shared" si="33"/>
        <v/>
      </c>
      <c r="AB160" s="176"/>
      <c r="AC160" s="163"/>
    </row>
    <row r="161" spans="1:29">
      <c r="A161" t="str">
        <f t="shared" si="34"/>
        <v/>
      </c>
      <c r="B161" t="str">
        <f>Fastest!C161</f>
        <v/>
      </c>
      <c r="C161" t="str">
        <f>Fastest!AB161</f>
        <v/>
      </c>
      <c r="D161" t="str">
        <f>IF(ISNA(Fastest!AC161),"",Fastest!AC161)</f>
        <v/>
      </c>
      <c r="E161" t="str">
        <f t="shared" si="36"/>
        <v/>
      </c>
      <c r="F161" s="111">
        <v>152</v>
      </c>
      <c r="G161" s="174">
        <v>152</v>
      </c>
      <c r="H161" s="175" t="str">
        <f t="shared" si="28"/>
        <v/>
      </c>
      <c r="I161" s="176" t="str">
        <f t="shared" si="29"/>
        <v/>
      </c>
      <c r="J161" s="177"/>
      <c r="K161" s="177"/>
      <c r="L161" s="177"/>
      <c r="M161" s="177"/>
      <c r="N161" s="177"/>
      <c r="O161" s="144"/>
      <c r="P161" s="176" t="str">
        <f t="shared" si="30"/>
        <v/>
      </c>
      <c r="Q161" s="177"/>
      <c r="R161" s="177"/>
      <c r="S161" s="177"/>
      <c r="T161" s="177"/>
      <c r="U161" s="177"/>
      <c r="V161" s="177"/>
      <c r="W161" s="144"/>
      <c r="X161" s="178" t="str">
        <f t="shared" si="31"/>
        <v/>
      </c>
      <c r="Y161" s="179"/>
      <c r="Z161" s="145" t="str">
        <f t="shared" si="32"/>
        <v/>
      </c>
      <c r="AA161" s="146" t="str">
        <f t="shared" si="33"/>
        <v/>
      </c>
      <c r="AB161" s="176"/>
      <c r="AC161" s="163"/>
    </row>
    <row r="162" spans="1:29">
      <c r="A162" t="str">
        <f t="shared" si="34"/>
        <v/>
      </c>
      <c r="B162" t="str">
        <f>Fastest!C162</f>
        <v/>
      </c>
      <c r="C162" t="str">
        <f>Fastest!AB162</f>
        <v/>
      </c>
      <c r="D162" t="str">
        <f>IF(ISNA(Fastest!AC162),"",Fastest!AC162)</f>
        <v/>
      </c>
      <c r="E162" t="str">
        <f t="shared" si="36"/>
        <v/>
      </c>
      <c r="F162" s="111">
        <v>153</v>
      </c>
      <c r="G162" s="174">
        <v>153</v>
      </c>
      <c r="H162" s="175" t="str">
        <f t="shared" si="28"/>
        <v/>
      </c>
      <c r="I162" s="176" t="str">
        <f t="shared" si="29"/>
        <v/>
      </c>
      <c r="J162" s="177"/>
      <c r="K162" s="177"/>
      <c r="L162" s="177"/>
      <c r="M162" s="177"/>
      <c r="N162" s="177"/>
      <c r="O162" s="144"/>
      <c r="P162" s="176" t="str">
        <f t="shared" si="30"/>
        <v/>
      </c>
      <c r="Q162" s="177"/>
      <c r="R162" s="177"/>
      <c r="S162" s="177"/>
      <c r="T162" s="177"/>
      <c r="U162" s="177"/>
      <c r="V162" s="177"/>
      <c r="W162" s="144"/>
      <c r="X162" s="178" t="str">
        <f t="shared" si="31"/>
        <v/>
      </c>
      <c r="Y162" s="179"/>
      <c r="Z162" s="145" t="str">
        <f t="shared" si="32"/>
        <v/>
      </c>
      <c r="AA162" s="146" t="str">
        <f t="shared" si="33"/>
        <v/>
      </c>
      <c r="AB162" s="176"/>
      <c r="AC162" s="163"/>
    </row>
    <row r="163" spans="1:29">
      <c r="A163" t="str">
        <f t="shared" si="34"/>
        <v/>
      </c>
      <c r="B163" t="str">
        <f>Fastest!C163</f>
        <v/>
      </c>
      <c r="C163" t="str">
        <f>Fastest!AB163</f>
        <v/>
      </c>
      <c r="D163" t="str">
        <f>IF(ISNA(Fastest!AC163),"",Fastest!AC163)</f>
        <v/>
      </c>
      <c r="E163" t="str">
        <f t="shared" si="36"/>
        <v/>
      </c>
      <c r="F163" s="111">
        <v>154</v>
      </c>
      <c r="G163" s="174">
        <v>154</v>
      </c>
      <c r="H163" s="175" t="str">
        <f t="shared" si="28"/>
        <v/>
      </c>
      <c r="I163" s="176" t="str">
        <f t="shared" si="29"/>
        <v/>
      </c>
      <c r="J163" s="177"/>
      <c r="K163" s="177"/>
      <c r="L163" s="177"/>
      <c r="M163" s="177"/>
      <c r="N163" s="177"/>
      <c r="O163" s="144"/>
      <c r="P163" s="176" t="str">
        <f t="shared" si="30"/>
        <v/>
      </c>
      <c r="Q163" s="177"/>
      <c r="R163" s="177"/>
      <c r="S163" s="177"/>
      <c r="T163" s="177"/>
      <c r="U163" s="177"/>
      <c r="V163" s="177"/>
      <c r="W163" s="144"/>
      <c r="X163" s="178" t="str">
        <f t="shared" si="31"/>
        <v/>
      </c>
      <c r="Y163" s="179"/>
      <c r="Z163" s="145" t="str">
        <f t="shared" si="32"/>
        <v/>
      </c>
      <c r="AA163" s="146" t="str">
        <f t="shared" si="33"/>
        <v/>
      </c>
      <c r="AB163" s="176"/>
      <c r="AC163" s="163"/>
    </row>
    <row r="164" spans="1:29">
      <c r="A164" t="str">
        <f t="shared" si="34"/>
        <v/>
      </c>
      <c r="B164" t="str">
        <f>Fastest!C164</f>
        <v/>
      </c>
      <c r="C164" t="str">
        <f>Fastest!AB164</f>
        <v/>
      </c>
      <c r="D164" t="str">
        <f>IF(ISNA(Fastest!AC164),"",Fastest!AC164)</f>
        <v/>
      </c>
      <c r="E164" t="str">
        <f t="shared" si="36"/>
        <v/>
      </c>
      <c r="F164" s="111">
        <v>155</v>
      </c>
      <c r="G164" s="174">
        <v>155</v>
      </c>
      <c r="H164" s="175" t="str">
        <f t="shared" si="28"/>
        <v/>
      </c>
      <c r="I164" s="176" t="str">
        <f t="shared" si="29"/>
        <v/>
      </c>
      <c r="J164" s="177"/>
      <c r="K164" s="177"/>
      <c r="L164" s="177"/>
      <c r="M164" s="177"/>
      <c r="N164" s="177"/>
      <c r="O164" s="144"/>
      <c r="P164" s="176" t="str">
        <f t="shared" si="30"/>
        <v/>
      </c>
      <c r="Q164" s="177"/>
      <c r="R164" s="177"/>
      <c r="S164" s="177"/>
      <c r="T164" s="177"/>
      <c r="U164" s="177"/>
      <c r="V164" s="177"/>
      <c r="W164" s="144"/>
      <c r="X164" s="178" t="str">
        <f t="shared" si="31"/>
        <v/>
      </c>
      <c r="Y164" s="179"/>
      <c r="Z164" s="145" t="str">
        <f t="shared" si="32"/>
        <v/>
      </c>
      <c r="AA164" s="146" t="str">
        <f t="shared" si="33"/>
        <v/>
      </c>
      <c r="AB164" s="176"/>
      <c r="AC164" s="163"/>
    </row>
    <row r="165" spans="1:29">
      <c r="A165" t="str">
        <f t="shared" si="34"/>
        <v/>
      </c>
      <c r="B165" t="str">
        <f>Fastest!C165</f>
        <v/>
      </c>
      <c r="C165" t="str">
        <f>Fastest!AB165</f>
        <v/>
      </c>
      <c r="D165" t="str">
        <f>IF(ISNA(Fastest!AC165),"",Fastest!AC165)</f>
        <v/>
      </c>
      <c r="E165" t="str">
        <f t="shared" si="36"/>
        <v/>
      </c>
      <c r="F165" s="111">
        <v>156</v>
      </c>
      <c r="G165" s="174">
        <v>156</v>
      </c>
      <c r="H165" s="175" t="str">
        <f t="shared" si="28"/>
        <v/>
      </c>
      <c r="I165" s="176" t="str">
        <f t="shared" si="29"/>
        <v/>
      </c>
      <c r="J165" s="177"/>
      <c r="K165" s="177"/>
      <c r="L165" s="177"/>
      <c r="M165" s="177"/>
      <c r="N165" s="177"/>
      <c r="O165" s="144"/>
      <c r="P165" s="176" t="str">
        <f t="shared" si="30"/>
        <v/>
      </c>
      <c r="Q165" s="177"/>
      <c r="R165" s="177"/>
      <c r="S165" s="177"/>
      <c r="T165" s="177"/>
      <c r="U165" s="177"/>
      <c r="V165" s="177"/>
      <c r="W165" s="144"/>
      <c r="X165" s="178" t="str">
        <f t="shared" si="31"/>
        <v/>
      </c>
      <c r="Y165" s="179"/>
      <c r="Z165" s="145" t="str">
        <f t="shared" si="32"/>
        <v/>
      </c>
      <c r="AA165" s="146" t="str">
        <f t="shared" si="33"/>
        <v/>
      </c>
      <c r="AB165" s="176"/>
      <c r="AC165" s="163"/>
    </row>
    <row r="166" spans="1:29">
      <c r="A166" t="str">
        <f t="shared" si="34"/>
        <v/>
      </c>
      <c r="B166" t="str">
        <f>Fastest!C166</f>
        <v/>
      </c>
      <c r="C166" t="str">
        <f>Fastest!AB166</f>
        <v/>
      </c>
      <c r="D166" t="str">
        <f>IF(ISNA(Fastest!AC166),"",Fastest!AC166)</f>
        <v/>
      </c>
      <c r="E166" t="str">
        <f t="shared" si="36"/>
        <v/>
      </c>
      <c r="F166" s="111">
        <v>157</v>
      </c>
      <c r="G166" s="174">
        <v>157</v>
      </c>
      <c r="H166" s="175" t="str">
        <f t="shared" si="28"/>
        <v/>
      </c>
      <c r="I166" s="176" t="str">
        <f t="shared" si="29"/>
        <v/>
      </c>
      <c r="J166" s="177"/>
      <c r="K166" s="177"/>
      <c r="L166" s="177"/>
      <c r="M166" s="177"/>
      <c r="N166" s="177"/>
      <c r="O166" s="144"/>
      <c r="P166" s="176" t="str">
        <f t="shared" si="30"/>
        <v/>
      </c>
      <c r="Q166" s="177"/>
      <c r="R166" s="177"/>
      <c r="S166" s="177"/>
      <c r="T166" s="177"/>
      <c r="U166" s="177"/>
      <c r="V166" s="177"/>
      <c r="W166" s="144"/>
      <c r="X166" s="178" t="str">
        <f t="shared" si="31"/>
        <v/>
      </c>
      <c r="Y166" s="179"/>
      <c r="Z166" s="145" t="str">
        <f t="shared" si="32"/>
        <v/>
      </c>
      <c r="AA166" s="146" t="str">
        <f t="shared" si="33"/>
        <v/>
      </c>
      <c r="AB166" s="176"/>
      <c r="AC166" s="163"/>
    </row>
    <row r="167" spans="1:29">
      <c r="A167" t="str">
        <f t="shared" si="34"/>
        <v/>
      </c>
      <c r="B167" t="str">
        <f>Fastest!C167</f>
        <v/>
      </c>
      <c r="C167" t="str">
        <f>Fastest!AB167</f>
        <v/>
      </c>
      <c r="D167" t="str">
        <f>IF(ISNA(Fastest!AC167),"",Fastest!AC167)</f>
        <v/>
      </c>
      <c r="E167" t="str">
        <f t="shared" si="36"/>
        <v/>
      </c>
      <c r="F167" s="111">
        <v>158</v>
      </c>
      <c r="G167" s="174">
        <v>158</v>
      </c>
      <c r="H167" s="175" t="str">
        <f t="shared" si="28"/>
        <v/>
      </c>
      <c r="I167" s="176" t="str">
        <f t="shared" si="29"/>
        <v/>
      </c>
      <c r="J167" s="177"/>
      <c r="K167" s="177"/>
      <c r="L167" s="177"/>
      <c r="M167" s="177"/>
      <c r="N167" s="177"/>
      <c r="O167" s="144"/>
      <c r="P167" s="176" t="str">
        <f t="shared" si="30"/>
        <v/>
      </c>
      <c r="Q167" s="177"/>
      <c r="R167" s="177"/>
      <c r="S167" s="177"/>
      <c r="T167" s="177"/>
      <c r="U167" s="177"/>
      <c r="V167" s="177"/>
      <c r="W167" s="144"/>
      <c r="X167" s="178" t="str">
        <f t="shared" si="31"/>
        <v/>
      </c>
      <c r="Y167" s="179"/>
      <c r="Z167" s="145" t="str">
        <f t="shared" si="32"/>
        <v/>
      </c>
      <c r="AA167" s="146" t="str">
        <f t="shared" si="33"/>
        <v/>
      </c>
      <c r="AB167" s="176"/>
      <c r="AC167" s="163"/>
    </row>
    <row r="168" spans="1:29">
      <c r="A168" t="str">
        <f t="shared" si="34"/>
        <v/>
      </c>
      <c r="B168" t="str">
        <f>Fastest!C168</f>
        <v/>
      </c>
      <c r="C168" t="str">
        <f>Fastest!AB168</f>
        <v/>
      </c>
      <c r="D168" t="str">
        <f>IF(ISNA(Fastest!AC168),"",Fastest!AC168)</f>
        <v/>
      </c>
      <c r="E168" t="str">
        <f t="shared" si="36"/>
        <v/>
      </c>
      <c r="F168" s="111">
        <v>159</v>
      </c>
      <c r="G168" s="174">
        <v>159</v>
      </c>
      <c r="H168" s="175" t="str">
        <f t="shared" si="28"/>
        <v/>
      </c>
      <c r="I168" s="176" t="str">
        <f t="shared" si="29"/>
        <v/>
      </c>
      <c r="J168" s="177"/>
      <c r="K168" s="177"/>
      <c r="L168" s="177"/>
      <c r="M168" s="177"/>
      <c r="N168" s="177"/>
      <c r="O168" s="144"/>
      <c r="P168" s="176" t="str">
        <f t="shared" si="30"/>
        <v/>
      </c>
      <c r="Q168" s="177"/>
      <c r="R168" s="177"/>
      <c r="S168" s="177"/>
      <c r="T168" s="177"/>
      <c r="U168" s="177"/>
      <c r="V168" s="177"/>
      <c r="W168" s="144"/>
      <c r="X168" s="178" t="str">
        <f t="shared" si="31"/>
        <v/>
      </c>
      <c r="Y168" s="179"/>
      <c r="Z168" s="145" t="str">
        <f t="shared" si="32"/>
        <v/>
      </c>
      <c r="AA168" s="146" t="str">
        <f t="shared" si="33"/>
        <v/>
      </c>
      <c r="AB168" s="176"/>
      <c r="AC168" s="163"/>
    </row>
    <row r="169" spans="1:29">
      <c r="A169" t="str">
        <f t="shared" si="34"/>
        <v/>
      </c>
      <c r="B169" t="str">
        <f>Fastest!C169</f>
        <v/>
      </c>
      <c r="C169" t="str">
        <f>Fastest!AB169</f>
        <v/>
      </c>
      <c r="D169" t="str">
        <f>IF(ISNA(Fastest!AC169),"",Fastest!AC169)</f>
        <v/>
      </c>
      <c r="E169" t="str">
        <f t="shared" si="36"/>
        <v/>
      </c>
      <c r="F169" s="111">
        <v>160</v>
      </c>
      <c r="G169" s="174">
        <v>160</v>
      </c>
      <c r="H169" s="175" t="str">
        <f t="shared" si="28"/>
        <v/>
      </c>
      <c r="I169" s="176" t="str">
        <f t="shared" si="29"/>
        <v/>
      </c>
      <c r="J169" s="177"/>
      <c r="K169" s="177"/>
      <c r="L169" s="177"/>
      <c r="M169" s="177"/>
      <c r="N169" s="177"/>
      <c r="O169" s="144"/>
      <c r="P169" s="176" t="str">
        <f t="shared" si="30"/>
        <v/>
      </c>
      <c r="Q169" s="177"/>
      <c r="R169" s="177"/>
      <c r="S169" s="177"/>
      <c r="T169" s="177"/>
      <c r="U169" s="177"/>
      <c r="V169" s="177"/>
      <c r="W169" s="144"/>
      <c r="X169" s="178" t="str">
        <f t="shared" si="31"/>
        <v/>
      </c>
      <c r="Y169" s="179"/>
      <c r="Z169" s="145" t="str">
        <f t="shared" si="32"/>
        <v/>
      </c>
      <c r="AA169" s="146" t="str">
        <f t="shared" si="33"/>
        <v/>
      </c>
      <c r="AB169" s="176"/>
      <c r="AC169" s="163"/>
    </row>
    <row r="170" spans="1:29">
      <c r="A170" t="str">
        <f t="shared" si="34"/>
        <v/>
      </c>
      <c r="B170" t="str">
        <f>Fastest!C170</f>
        <v/>
      </c>
      <c r="C170" t="str">
        <f>Fastest!AB170</f>
        <v/>
      </c>
      <c r="D170" t="str">
        <f>IF(ISNA(Fastest!AC170),"",Fastest!AC170)</f>
        <v/>
      </c>
      <c r="E170" t="str">
        <f t="shared" si="36"/>
        <v/>
      </c>
      <c r="F170" s="111">
        <v>161</v>
      </c>
      <c r="G170" s="174">
        <v>161</v>
      </c>
      <c r="H170" s="175" t="str">
        <f t="shared" si="28"/>
        <v/>
      </c>
      <c r="I170" s="176" t="str">
        <f t="shared" si="29"/>
        <v/>
      </c>
      <c r="J170" s="177"/>
      <c r="K170" s="177"/>
      <c r="L170" s="177"/>
      <c r="M170" s="177"/>
      <c r="N170" s="177"/>
      <c r="O170" s="144"/>
      <c r="P170" s="176" t="str">
        <f t="shared" si="30"/>
        <v/>
      </c>
      <c r="Q170" s="177"/>
      <c r="R170" s="177"/>
      <c r="S170" s="177"/>
      <c r="T170" s="177"/>
      <c r="U170" s="177"/>
      <c r="V170" s="177"/>
      <c r="W170" s="144"/>
      <c r="X170" s="178" t="str">
        <f t="shared" si="31"/>
        <v/>
      </c>
      <c r="Y170" s="179"/>
      <c r="Z170" s="145" t="str">
        <f t="shared" ref="Z170:Z209" si="37">IF(IF(ISNA(VLOOKUP($H170,Field,14,FALSE)),"",VLOOKUP($H170,Field,14,FALSE))=0,"",IF(ISNA(VLOOKUP($H170,Field,14,FALSE)),"",VLOOKUP($H170,Field,14,FALSE)))</f>
        <v/>
      </c>
      <c r="AA170" s="146" t="str">
        <f t="shared" ref="AA170:AA209" si="38">IF(IF(ISNA(VLOOKUP($H170,Field,15,FALSE)),"",VLOOKUP($H170,Field,15,FALSE))=0,"",IF(ISNA(VLOOKUP($H170,Field,15,FALSE)),"",VLOOKUP($H170,Field,15,FALSE)))</f>
        <v/>
      </c>
      <c r="AB170" s="176"/>
      <c r="AC170" s="163"/>
    </row>
    <row r="171" spans="1:29">
      <c r="A171" t="str">
        <f t="shared" si="34"/>
        <v/>
      </c>
      <c r="B171" t="str">
        <f>Fastest!C171</f>
        <v/>
      </c>
      <c r="C171" t="str">
        <f>Fastest!AB171</f>
        <v/>
      </c>
      <c r="D171" t="str">
        <f>IF(ISNA(Fastest!AC171),"",Fastest!AC171)</f>
        <v/>
      </c>
      <c r="E171" t="str">
        <f t="shared" si="36"/>
        <v/>
      </c>
      <c r="F171" s="111">
        <v>162</v>
      </c>
      <c r="G171" s="174">
        <v>162</v>
      </c>
      <c r="H171" s="175" t="str">
        <f t="shared" si="28"/>
        <v/>
      </c>
      <c r="I171" s="176" t="str">
        <f t="shared" si="29"/>
        <v/>
      </c>
      <c r="J171" s="177"/>
      <c r="K171" s="177"/>
      <c r="L171" s="177"/>
      <c r="M171" s="177"/>
      <c r="N171" s="177"/>
      <c r="O171" s="144"/>
      <c r="P171" s="176" t="str">
        <f t="shared" si="30"/>
        <v/>
      </c>
      <c r="Q171" s="177"/>
      <c r="R171" s="177"/>
      <c r="S171" s="177"/>
      <c r="T171" s="177"/>
      <c r="U171" s="177"/>
      <c r="V171" s="177"/>
      <c r="W171" s="144"/>
      <c r="X171" s="178" t="str">
        <f t="shared" si="31"/>
        <v/>
      </c>
      <c r="Y171" s="179"/>
      <c r="Z171" s="145" t="str">
        <f t="shared" si="37"/>
        <v/>
      </c>
      <c r="AA171" s="146" t="str">
        <f t="shared" si="38"/>
        <v/>
      </c>
      <c r="AB171" s="176"/>
      <c r="AC171" s="163"/>
    </row>
    <row r="172" spans="1:29">
      <c r="A172" t="str">
        <f t="shared" si="34"/>
        <v/>
      </c>
      <c r="B172" t="str">
        <f>Fastest!C172</f>
        <v/>
      </c>
      <c r="C172" t="str">
        <f>Fastest!AB172</f>
        <v/>
      </c>
      <c r="D172" t="str">
        <f>IF(ISNA(Fastest!AC172),"",Fastest!AC172)</f>
        <v/>
      </c>
      <c r="E172" t="str">
        <f t="shared" si="36"/>
        <v/>
      </c>
      <c r="F172" s="111">
        <v>163</v>
      </c>
      <c r="G172" s="174">
        <v>163</v>
      </c>
      <c r="H172" s="175" t="str">
        <f t="shared" si="28"/>
        <v/>
      </c>
      <c r="I172" s="176" t="str">
        <f t="shared" si="29"/>
        <v/>
      </c>
      <c r="J172" s="177"/>
      <c r="K172" s="177"/>
      <c r="L172" s="177"/>
      <c r="M172" s="177"/>
      <c r="N172" s="177"/>
      <c r="O172" s="144"/>
      <c r="P172" s="176" t="str">
        <f t="shared" si="30"/>
        <v/>
      </c>
      <c r="Q172" s="177"/>
      <c r="R172" s="177"/>
      <c r="S172" s="177"/>
      <c r="T172" s="177"/>
      <c r="U172" s="177"/>
      <c r="V172" s="177"/>
      <c r="W172" s="144"/>
      <c r="X172" s="178" t="str">
        <f t="shared" si="31"/>
        <v/>
      </c>
      <c r="Y172" s="179"/>
      <c r="Z172" s="145" t="str">
        <f t="shared" si="37"/>
        <v/>
      </c>
      <c r="AA172" s="146" t="str">
        <f t="shared" si="38"/>
        <v/>
      </c>
      <c r="AB172" s="176"/>
      <c r="AC172" s="163"/>
    </row>
    <row r="173" spans="1:29">
      <c r="A173" t="str">
        <f t="shared" si="34"/>
        <v/>
      </c>
      <c r="B173" t="str">
        <f>Fastest!C173</f>
        <v/>
      </c>
      <c r="C173" t="str">
        <f>Fastest!AB173</f>
        <v/>
      </c>
      <c r="D173" t="str">
        <f>IF(ISNA(Fastest!AC173),"",Fastest!AC173)</f>
        <v/>
      </c>
      <c r="E173" t="str">
        <f t="shared" si="36"/>
        <v/>
      </c>
      <c r="F173" s="111">
        <v>164</v>
      </c>
      <c r="G173" s="174">
        <v>164</v>
      </c>
      <c r="H173" s="175" t="str">
        <f t="shared" si="28"/>
        <v/>
      </c>
      <c r="I173" s="176" t="str">
        <f t="shared" si="29"/>
        <v/>
      </c>
      <c r="J173" s="177"/>
      <c r="K173" s="177"/>
      <c r="L173" s="177"/>
      <c r="M173" s="177"/>
      <c r="N173" s="177"/>
      <c r="O173" s="144"/>
      <c r="P173" s="176" t="str">
        <f t="shared" si="30"/>
        <v/>
      </c>
      <c r="Q173" s="177"/>
      <c r="R173" s="177"/>
      <c r="S173" s="177"/>
      <c r="T173" s="177"/>
      <c r="U173" s="177"/>
      <c r="V173" s="177"/>
      <c r="W173" s="144"/>
      <c r="X173" s="178" t="str">
        <f t="shared" si="31"/>
        <v/>
      </c>
      <c r="Y173" s="179"/>
      <c r="Z173" s="145" t="str">
        <f t="shared" si="37"/>
        <v/>
      </c>
      <c r="AA173" s="146" t="str">
        <f t="shared" si="38"/>
        <v/>
      </c>
      <c r="AB173" s="176"/>
      <c r="AC173" s="163"/>
    </row>
    <row r="174" spans="1:29">
      <c r="A174" t="str">
        <f t="shared" si="34"/>
        <v/>
      </c>
      <c r="B174" t="str">
        <f>Fastest!C174</f>
        <v/>
      </c>
      <c r="C174" t="str">
        <f>Fastest!AB174</f>
        <v/>
      </c>
      <c r="D174" t="str">
        <f>IF(ISNA(Fastest!AC174),"",Fastest!AC174)</f>
        <v/>
      </c>
      <c r="E174" t="str">
        <f t="shared" si="36"/>
        <v/>
      </c>
      <c r="F174" s="111">
        <v>165</v>
      </c>
      <c r="G174" s="174">
        <v>165</v>
      </c>
      <c r="H174" s="175" t="str">
        <f t="shared" si="28"/>
        <v/>
      </c>
      <c r="I174" s="176" t="str">
        <f t="shared" si="29"/>
        <v/>
      </c>
      <c r="J174" s="177"/>
      <c r="K174" s="177"/>
      <c r="L174" s="177"/>
      <c r="M174" s="177"/>
      <c r="N174" s="177"/>
      <c r="O174" s="144"/>
      <c r="P174" s="176" t="str">
        <f t="shared" si="30"/>
        <v/>
      </c>
      <c r="Q174" s="177"/>
      <c r="R174" s="177"/>
      <c r="S174" s="177"/>
      <c r="T174" s="177"/>
      <c r="U174" s="177"/>
      <c r="V174" s="177"/>
      <c r="W174" s="144"/>
      <c r="X174" s="178" t="str">
        <f t="shared" si="31"/>
        <v/>
      </c>
      <c r="Y174" s="179"/>
      <c r="Z174" s="145" t="str">
        <f t="shared" si="37"/>
        <v/>
      </c>
      <c r="AA174" s="146" t="str">
        <f t="shared" si="38"/>
        <v/>
      </c>
      <c r="AB174" s="176"/>
      <c r="AC174" s="163"/>
    </row>
    <row r="175" spans="1:29">
      <c r="A175" t="str">
        <f t="shared" si="34"/>
        <v/>
      </c>
      <c r="B175" t="str">
        <f>Fastest!C175</f>
        <v/>
      </c>
      <c r="C175" t="str">
        <f>Fastest!AB175</f>
        <v/>
      </c>
      <c r="D175" t="str">
        <f>IF(ISNA(Fastest!AC175),"",Fastest!AC175)</f>
        <v/>
      </c>
      <c r="E175" t="str">
        <f t="shared" si="36"/>
        <v/>
      </c>
      <c r="F175" s="111">
        <v>166</v>
      </c>
      <c r="G175" s="174">
        <v>166</v>
      </c>
      <c r="H175" s="175" t="str">
        <f t="shared" si="28"/>
        <v/>
      </c>
      <c r="I175" s="176" t="str">
        <f t="shared" si="29"/>
        <v/>
      </c>
      <c r="J175" s="177"/>
      <c r="K175" s="177"/>
      <c r="L175" s="177"/>
      <c r="M175" s="177"/>
      <c r="N175" s="177"/>
      <c r="O175" s="144"/>
      <c r="P175" s="176" t="str">
        <f t="shared" si="30"/>
        <v/>
      </c>
      <c r="Q175" s="177"/>
      <c r="R175" s="177"/>
      <c r="S175" s="177"/>
      <c r="T175" s="177"/>
      <c r="U175" s="177"/>
      <c r="V175" s="177"/>
      <c r="W175" s="144"/>
      <c r="X175" s="178" t="str">
        <f t="shared" si="31"/>
        <v/>
      </c>
      <c r="Y175" s="179"/>
      <c r="Z175" s="145" t="str">
        <f t="shared" si="37"/>
        <v/>
      </c>
      <c r="AA175" s="146" t="str">
        <f t="shared" si="38"/>
        <v/>
      </c>
      <c r="AB175" s="176"/>
      <c r="AC175" s="163"/>
    </row>
    <row r="176" spans="1:29">
      <c r="A176" t="str">
        <f t="shared" si="34"/>
        <v/>
      </c>
      <c r="B176" t="str">
        <f>Fastest!C176</f>
        <v/>
      </c>
      <c r="C176" t="str">
        <f>Fastest!AB176</f>
        <v/>
      </c>
      <c r="D176" t="str">
        <f>IF(ISNA(Fastest!AC176),"",Fastest!AC176)</f>
        <v/>
      </c>
      <c r="E176" t="str">
        <f t="shared" si="36"/>
        <v/>
      </c>
      <c r="F176" s="111">
        <v>167</v>
      </c>
      <c r="G176" s="174">
        <v>167</v>
      </c>
      <c r="H176" s="175" t="str">
        <f t="shared" si="28"/>
        <v/>
      </c>
      <c r="I176" s="176" t="str">
        <f t="shared" si="29"/>
        <v/>
      </c>
      <c r="J176" s="177"/>
      <c r="K176" s="177"/>
      <c r="L176" s="177"/>
      <c r="M176" s="177"/>
      <c r="N176" s="177"/>
      <c r="O176" s="144"/>
      <c r="P176" s="176" t="str">
        <f t="shared" si="30"/>
        <v/>
      </c>
      <c r="Q176" s="177"/>
      <c r="R176" s="177"/>
      <c r="S176" s="177"/>
      <c r="T176" s="177"/>
      <c r="U176" s="177"/>
      <c r="V176" s="177"/>
      <c r="W176" s="144"/>
      <c r="X176" s="178" t="str">
        <f t="shared" si="31"/>
        <v/>
      </c>
      <c r="Y176" s="179"/>
      <c r="Z176" s="145" t="str">
        <f t="shared" si="37"/>
        <v/>
      </c>
      <c r="AA176" s="146" t="str">
        <f t="shared" si="38"/>
        <v/>
      </c>
      <c r="AB176" s="176"/>
      <c r="AC176" s="163"/>
    </row>
    <row r="177" spans="1:29">
      <c r="A177" t="str">
        <f t="shared" si="34"/>
        <v/>
      </c>
      <c r="B177" t="str">
        <f>Fastest!C177</f>
        <v/>
      </c>
      <c r="C177" t="str">
        <f>Fastest!AB177</f>
        <v/>
      </c>
      <c r="D177" t="str">
        <f>IF(ISNA(Fastest!AC177),"",Fastest!AC177)</f>
        <v/>
      </c>
      <c r="E177" t="str">
        <f t="shared" si="36"/>
        <v/>
      </c>
      <c r="F177" s="111">
        <v>168</v>
      </c>
      <c r="G177" s="174">
        <v>168</v>
      </c>
      <c r="H177" s="175" t="str">
        <f t="shared" si="28"/>
        <v/>
      </c>
      <c r="I177" s="176" t="str">
        <f t="shared" si="29"/>
        <v/>
      </c>
      <c r="J177" s="177"/>
      <c r="K177" s="177"/>
      <c r="L177" s="177"/>
      <c r="M177" s="177"/>
      <c r="N177" s="177"/>
      <c r="O177" s="144"/>
      <c r="P177" s="176" t="str">
        <f t="shared" si="30"/>
        <v/>
      </c>
      <c r="Q177" s="177"/>
      <c r="R177" s="177"/>
      <c r="S177" s="177"/>
      <c r="T177" s="177"/>
      <c r="U177" s="177"/>
      <c r="V177" s="177"/>
      <c r="W177" s="144"/>
      <c r="X177" s="178" t="str">
        <f t="shared" si="31"/>
        <v/>
      </c>
      <c r="Y177" s="179"/>
      <c r="Z177" s="145" t="str">
        <f t="shared" si="37"/>
        <v/>
      </c>
      <c r="AA177" s="146" t="str">
        <f t="shared" si="38"/>
        <v/>
      </c>
      <c r="AB177" s="176"/>
      <c r="AC177" s="163"/>
    </row>
    <row r="178" spans="1:29">
      <c r="A178" t="str">
        <f t="shared" si="34"/>
        <v/>
      </c>
      <c r="B178" t="str">
        <f>Fastest!C178</f>
        <v/>
      </c>
      <c r="C178" t="str">
        <f>Fastest!AB178</f>
        <v/>
      </c>
      <c r="D178" t="str">
        <f>IF(ISNA(Fastest!AC178),"",Fastest!AC178)</f>
        <v/>
      </c>
      <c r="E178" t="str">
        <f t="shared" si="36"/>
        <v/>
      </c>
      <c r="F178" s="111">
        <v>169</v>
      </c>
      <c r="G178" s="174">
        <v>169</v>
      </c>
      <c r="H178" s="175" t="str">
        <f t="shared" si="28"/>
        <v/>
      </c>
      <c r="I178" s="176" t="str">
        <f t="shared" si="29"/>
        <v/>
      </c>
      <c r="J178" s="177"/>
      <c r="K178" s="177"/>
      <c r="L178" s="177"/>
      <c r="M178" s="177"/>
      <c r="N178" s="177"/>
      <c r="O178" s="144"/>
      <c r="P178" s="176" t="str">
        <f t="shared" si="30"/>
        <v/>
      </c>
      <c r="Q178" s="177"/>
      <c r="R178" s="177"/>
      <c r="S178" s="177"/>
      <c r="T178" s="177"/>
      <c r="U178" s="177"/>
      <c r="V178" s="177"/>
      <c r="W178" s="144"/>
      <c r="X178" s="178" t="str">
        <f t="shared" si="31"/>
        <v/>
      </c>
      <c r="Y178" s="179"/>
      <c r="Z178" s="145" t="str">
        <f t="shared" si="37"/>
        <v/>
      </c>
      <c r="AA178" s="146" t="str">
        <f t="shared" si="38"/>
        <v/>
      </c>
      <c r="AB178" s="176"/>
      <c r="AC178" s="163"/>
    </row>
    <row r="179" spans="1:29">
      <c r="A179" t="str">
        <f t="shared" si="34"/>
        <v/>
      </c>
      <c r="B179" t="str">
        <f>Fastest!C179</f>
        <v/>
      </c>
      <c r="C179" t="str">
        <f>Fastest!AB179</f>
        <v/>
      </c>
      <c r="D179" t="str">
        <f>IF(ISNA(Fastest!AC179),"",Fastest!AC179)</f>
        <v/>
      </c>
      <c r="E179" t="str">
        <f t="shared" si="36"/>
        <v/>
      </c>
      <c r="F179" s="244">
        <v>170</v>
      </c>
      <c r="G179" s="245">
        <v>170</v>
      </c>
      <c r="H179" s="246" t="str">
        <f t="shared" si="28"/>
        <v/>
      </c>
      <c r="I179" s="226" t="str">
        <f t="shared" si="29"/>
        <v/>
      </c>
      <c r="J179" s="247"/>
      <c r="K179" s="247"/>
      <c r="L179" s="247"/>
      <c r="M179" s="247"/>
      <c r="N179" s="247"/>
      <c r="O179" s="248"/>
      <c r="P179" s="226" t="str">
        <f t="shared" si="30"/>
        <v/>
      </c>
      <c r="Q179" s="247"/>
      <c r="R179" s="247"/>
      <c r="S179" s="247"/>
      <c r="T179" s="247"/>
      <c r="U179" s="247"/>
      <c r="V179" s="247"/>
      <c r="W179" s="248"/>
      <c r="X179" s="249" t="str">
        <f t="shared" si="31"/>
        <v/>
      </c>
      <c r="Y179" s="250"/>
      <c r="Z179" s="162" t="str">
        <f t="shared" si="37"/>
        <v/>
      </c>
      <c r="AA179" s="251" t="str">
        <f t="shared" si="38"/>
        <v/>
      </c>
      <c r="AB179" s="226"/>
      <c r="AC179" s="252"/>
    </row>
    <row r="180" spans="1:29">
      <c r="A180" t="str">
        <f t="shared" si="34"/>
        <v/>
      </c>
      <c r="B180" t="str">
        <f>Fastest!C180</f>
        <v/>
      </c>
      <c r="C180" t="str">
        <f>Fastest!AB180</f>
        <v/>
      </c>
      <c r="D180" t="str">
        <f>IF(ISNA(Fastest!AC180),"",Fastest!AC180)</f>
        <v/>
      </c>
      <c r="E180" t="str">
        <f t="shared" ref="E180:E209" si="39">IF(D180="","",IF(C180="+",D180 + 1 + 0.000000001*ROW(),1 + 0.000000001*ROW()-D180))</f>
        <v/>
      </c>
      <c r="F180" s="242">
        <v>171</v>
      </c>
      <c r="G180" s="243">
        <v>171</v>
      </c>
      <c r="H180" s="175" t="str">
        <f t="shared" si="28"/>
        <v/>
      </c>
      <c r="I180" s="176" t="str">
        <f t="shared" si="29"/>
        <v/>
      </c>
      <c r="J180" s="177"/>
      <c r="K180" s="177"/>
      <c r="L180" s="177"/>
      <c r="M180" s="177"/>
      <c r="N180" s="177"/>
      <c r="O180" s="144"/>
      <c r="P180" s="176" t="str">
        <f t="shared" si="30"/>
        <v/>
      </c>
      <c r="Q180" s="177"/>
      <c r="R180" s="177"/>
      <c r="S180" s="177"/>
      <c r="T180" s="177"/>
      <c r="U180" s="177"/>
      <c r="V180" s="177"/>
      <c r="W180" s="144"/>
      <c r="X180" s="178" t="str">
        <f t="shared" si="31"/>
        <v/>
      </c>
      <c r="Y180" s="179"/>
      <c r="Z180" s="145" t="str">
        <f t="shared" si="37"/>
        <v/>
      </c>
      <c r="AA180" s="146" t="str">
        <f t="shared" si="38"/>
        <v/>
      </c>
      <c r="AB180" s="176"/>
      <c r="AC180" s="163"/>
    </row>
    <row r="181" spans="1:29">
      <c r="A181" t="str">
        <f t="shared" si="34"/>
        <v/>
      </c>
      <c r="B181" t="str">
        <f>Fastest!C181</f>
        <v/>
      </c>
      <c r="C181" t="str">
        <f>Fastest!AB181</f>
        <v/>
      </c>
      <c r="D181" t="str">
        <f>IF(ISNA(Fastest!AC181),"",Fastest!AC181)</f>
        <v/>
      </c>
      <c r="E181" t="str">
        <f t="shared" si="39"/>
        <v/>
      </c>
      <c r="F181" s="242">
        <v>172</v>
      </c>
      <c r="G181" s="243">
        <v>172</v>
      </c>
      <c r="H181" s="175" t="str">
        <f t="shared" si="28"/>
        <v/>
      </c>
      <c r="I181" s="176" t="str">
        <f t="shared" si="29"/>
        <v/>
      </c>
      <c r="J181" s="177"/>
      <c r="K181" s="177"/>
      <c r="L181" s="177"/>
      <c r="M181" s="177"/>
      <c r="N181" s="177"/>
      <c r="O181" s="144"/>
      <c r="P181" s="176" t="str">
        <f t="shared" si="30"/>
        <v/>
      </c>
      <c r="Q181" s="177"/>
      <c r="R181" s="177"/>
      <c r="S181" s="177"/>
      <c r="T181" s="177"/>
      <c r="U181" s="177"/>
      <c r="V181" s="177"/>
      <c r="W181" s="144"/>
      <c r="X181" s="178" t="str">
        <f t="shared" si="31"/>
        <v/>
      </c>
      <c r="Y181" s="179"/>
      <c r="Z181" s="145" t="str">
        <f t="shared" si="37"/>
        <v/>
      </c>
      <c r="AA181" s="146" t="str">
        <f t="shared" si="38"/>
        <v/>
      </c>
      <c r="AB181" s="176"/>
      <c r="AC181" s="163"/>
    </row>
    <row r="182" spans="1:29">
      <c r="A182" t="str">
        <f t="shared" si="34"/>
        <v/>
      </c>
      <c r="B182" t="str">
        <f>Fastest!C182</f>
        <v/>
      </c>
      <c r="C182" t="str">
        <f>Fastest!AB182</f>
        <v/>
      </c>
      <c r="D182" t="str">
        <f>IF(ISNA(Fastest!AC182),"",Fastest!AC182)</f>
        <v/>
      </c>
      <c r="E182" t="str">
        <f t="shared" si="39"/>
        <v/>
      </c>
      <c r="F182" s="242">
        <v>173</v>
      </c>
      <c r="G182" s="243">
        <v>173</v>
      </c>
      <c r="H182" s="175" t="str">
        <f t="shared" si="28"/>
        <v/>
      </c>
      <c r="I182" s="176" t="str">
        <f t="shared" si="29"/>
        <v/>
      </c>
      <c r="J182" s="177"/>
      <c r="K182" s="177"/>
      <c r="L182" s="177"/>
      <c r="M182" s="177"/>
      <c r="N182" s="177"/>
      <c r="O182" s="144"/>
      <c r="P182" s="176" t="str">
        <f t="shared" si="30"/>
        <v/>
      </c>
      <c r="Q182" s="177"/>
      <c r="R182" s="177"/>
      <c r="S182" s="177"/>
      <c r="T182" s="177"/>
      <c r="U182" s="177"/>
      <c r="V182" s="177"/>
      <c r="W182" s="144"/>
      <c r="X182" s="178" t="str">
        <f t="shared" si="31"/>
        <v/>
      </c>
      <c r="Y182" s="179"/>
      <c r="Z182" s="145" t="str">
        <f t="shared" si="37"/>
        <v/>
      </c>
      <c r="AA182" s="146" t="str">
        <f t="shared" si="38"/>
        <v/>
      </c>
      <c r="AB182" s="176"/>
      <c r="AC182" s="163"/>
    </row>
    <row r="183" spans="1:29">
      <c r="A183" t="str">
        <f t="shared" si="34"/>
        <v/>
      </c>
      <c r="B183" t="str">
        <f>Fastest!C183</f>
        <v/>
      </c>
      <c r="C183" t="str">
        <f>Fastest!AB183</f>
        <v/>
      </c>
      <c r="D183" t="str">
        <f>IF(ISNA(Fastest!AC183),"",Fastest!AC183)</f>
        <v/>
      </c>
      <c r="E183" t="str">
        <f t="shared" si="39"/>
        <v/>
      </c>
      <c r="F183" s="242">
        <v>174</v>
      </c>
      <c r="G183" s="243">
        <v>174</v>
      </c>
      <c r="H183" s="175" t="str">
        <f t="shared" si="28"/>
        <v/>
      </c>
      <c r="I183" s="176" t="str">
        <f t="shared" si="29"/>
        <v/>
      </c>
      <c r="J183" s="177"/>
      <c r="K183" s="177"/>
      <c r="L183" s="177"/>
      <c r="M183" s="177"/>
      <c r="N183" s="177"/>
      <c r="O183" s="144"/>
      <c r="P183" s="176" t="str">
        <f t="shared" si="30"/>
        <v/>
      </c>
      <c r="Q183" s="177"/>
      <c r="R183" s="177"/>
      <c r="S183" s="177"/>
      <c r="T183" s="177"/>
      <c r="U183" s="177"/>
      <c r="V183" s="177"/>
      <c r="W183" s="144"/>
      <c r="X183" s="178" t="str">
        <f t="shared" si="31"/>
        <v/>
      </c>
      <c r="Y183" s="179"/>
      <c r="Z183" s="145" t="str">
        <f t="shared" si="37"/>
        <v/>
      </c>
      <c r="AA183" s="146" t="str">
        <f t="shared" si="38"/>
        <v/>
      </c>
      <c r="AB183" s="176"/>
      <c r="AC183" s="163"/>
    </row>
    <row r="184" spans="1:29">
      <c r="A184" t="str">
        <f t="shared" si="34"/>
        <v/>
      </c>
      <c r="B184" t="str">
        <f>Fastest!C184</f>
        <v/>
      </c>
      <c r="C184" t="str">
        <f>Fastest!AB184</f>
        <v/>
      </c>
      <c r="D184" t="str">
        <f>IF(ISNA(Fastest!AC184),"",Fastest!AC184)</f>
        <v/>
      </c>
      <c r="E184" t="str">
        <f t="shared" si="39"/>
        <v/>
      </c>
      <c r="F184" s="242">
        <v>175</v>
      </c>
      <c r="G184" s="243">
        <v>175</v>
      </c>
      <c r="H184" s="175" t="str">
        <f t="shared" si="28"/>
        <v/>
      </c>
      <c r="I184" s="176" t="str">
        <f t="shared" si="29"/>
        <v/>
      </c>
      <c r="J184" s="177"/>
      <c r="K184" s="177"/>
      <c r="L184" s="177"/>
      <c r="M184" s="177"/>
      <c r="N184" s="177"/>
      <c r="O184" s="144"/>
      <c r="P184" s="176" t="str">
        <f t="shared" si="30"/>
        <v/>
      </c>
      <c r="Q184" s="177"/>
      <c r="R184" s="177"/>
      <c r="S184" s="177"/>
      <c r="T184" s="177"/>
      <c r="U184" s="177"/>
      <c r="V184" s="177"/>
      <c r="W184" s="144"/>
      <c r="X184" s="178" t="str">
        <f t="shared" si="31"/>
        <v/>
      </c>
      <c r="Y184" s="179"/>
      <c r="Z184" s="145" t="str">
        <f t="shared" si="37"/>
        <v/>
      </c>
      <c r="AA184" s="146" t="str">
        <f t="shared" si="38"/>
        <v/>
      </c>
      <c r="AB184" s="176"/>
      <c r="AC184" s="163"/>
    </row>
    <row r="185" spans="1:29">
      <c r="A185" t="str">
        <f t="shared" si="34"/>
        <v/>
      </c>
      <c r="B185" t="str">
        <f>Fastest!C185</f>
        <v/>
      </c>
      <c r="C185" t="str">
        <f>Fastest!AB185</f>
        <v/>
      </c>
      <c r="D185" t="str">
        <f>IF(ISNA(Fastest!AC185),"",Fastest!AC185)</f>
        <v/>
      </c>
      <c r="E185" t="str">
        <f t="shared" si="39"/>
        <v/>
      </c>
      <c r="F185" s="242">
        <v>176</v>
      </c>
      <c r="G185" s="243">
        <v>176</v>
      </c>
      <c r="H185" s="175" t="str">
        <f t="shared" si="28"/>
        <v/>
      </c>
      <c r="I185" s="176" t="str">
        <f t="shared" si="29"/>
        <v/>
      </c>
      <c r="J185" s="177"/>
      <c r="K185" s="177"/>
      <c r="L185" s="177"/>
      <c r="M185" s="177"/>
      <c r="N185" s="177"/>
      <c r="O185" s="144"/>
      <c r="P185" s="176" t="str">
        <f t="shared" si="30"/>
        <v/>
      </c>
      <c r="Q185" s="177"/>
      <c r="R185" s="177"/>
      <c r="S185" s="177"/>
      <c r="T185" s="177"/>
      <c r="U185" s="177"/>
      <c r="V185" s="177"/>
      <c r="W185" s="144"/>
      <c r="X185" s="178" t="str">
        <f t="shared" si="31"/>
        <v/>
      </c>
      <c r="Y185" s="179"/>
      <c r="Z185" s="145" t="str">
        <f t="shared" si="37"/>
        <v/>
      </c>
      <c r="AA185" s="146" t="str">
        <f t="shared" si="38"/>
        <v/>
      </c>
      <c r="AB185" s="176"/>
      <c r="AC185" s="163"/>
    </row>
    <row r="186" spans="1:29">
      <c r="A186" t="str">
        <f t="shared" si="34"/>
        <v/>
      </c>
      <c r="B186" t="str">
        <f>Fastest!C186</f>
        <v/>
      </c>
      <c r="C186" t="str">
        <f>Fastest!AB186</f>
        <v/>
      </c>
      <c r="D186" t="str">
        <f>IF(ISNA(Fastest!AC186),"",Fastest!AC186)</f>
        <v/>
      </c>
      <c r="E186" t="str">
        <f t="shared" si="39"/>
        <v/>
      </c>
      <c r="F186" s="242">
        <v>177</v>
      </c>
      <c r="G186" s="243">
        <v>177</v>
      </c>
      <c r="H186" s="175" t="str">
        <f t="shared" si="28"/>
        <v/>
      </c>
      <c r="I186" s="176" t="str">
        <f t="shared" si="29"/>
        <v/>
      </c>
      <c r="J186" s="177"/>
      <c r="K186" s="177"/>
      <c r="L186" s="177"/>
      <c r="M186" s="177"/>
      <c r="N186" s="177"/>
      <c r="O186" s="144"/>
      <c r="P186" s="176" t="str">
        <f t="shared" si="30"/>
        <v/>
      </c>
      <c r="Q186" s="177"/>
      <c r="R186" s="177"/>
      <c r="S186" s="177"/>
      <c r="T186" s="177"/>
      <c r="U186" s="177"/>
      <c r="V186" s="177"/>
      <c r="W186" s="144"/>
      <c r="X186" s="178" t="str">
        <f t="shared" si="31"/>
        <v/>
      </c>
      <c r="Y186" s="179"/>
      <c r="Z186" s="145" t="str">
        <f t="shared" si="37"/>
        <v/>
      </c>
      <c r="AA186" s="146" t="str">
        <f t="shared" si="38"/>
        <v/>
      </c>
      <c r="AB186" s="176"/>
      <c r="AC186" s="163"/>
    </row>
    <row r="187" spans="1:29">
      <c r="A187" t="str">
        <f t="shared" si="34"/>
        <v/>
      </c>
      <c r="B187" t="str">
        <f>Fastest!C187</f>
        <v/>
      </c>
      <c r="C187" t="str">
        <f>Fastest!AB187</f>
        <v/>
      </c>
      <c r="D187" t="str">
        <f>IF(ISNA(Fastest!AC187),"",Fastest!AC187)</f>
        <v/>
      </c>
      <c r="E187" t="str">
        <f t="shared" si="39"/>
        <v/>
      </c>
      <c r="F187" s="242">
        <v>178</v>
      </c>
      <c r="G187" s="243">
        <v>178</v>
      </c>
      <c r="H187" s="175" t="str">
        <f t="shared" si="28"/>
        <v/>
      </c>
      <c r="I187" s="176" t="str">
        <f t="shared" si="29"/>
        <v/>
      </c>
      <c r="J187" s="177"/>
      <c r="K187" s="177"/>
      <c r="L187" s="177"/>
      <c r="M187" s="177"/>
      <c r="N187" s="177"/>
      <c r="O187" s="144"/>
      <c r="P187" s="176" t="str">
        <f t="shared" si="30"/>
        <v/>
      </c>
      <c r="Q187" s="177"/>
      <c r="R187" s="177"/>
      <c r="S187" s="177"/>
      <c r="T187" s="177"/>
      <c r="U187" s="177"/>
      <c r="V187" s="177"/>
      <c r="W187" s="144"/>
      <c r="X187" s="178" t="str">
        <f t="shared" si="31"/>
        <v/>
      </c>
      <c r="Y187" s="179"/>
      <c r="Z187" s="145" t="str">
        <f t="shared" si="37"/>
        <v/>
      </c>
      <c r="AA187" s="146" t="str">
        <f t="shared" si="38"/>
        <v/>
      </c>
      <c r="AB187" s="176"/>
      <c r="AC187" s="163"/>
    </row>
    <row r="188" spans="1:29">
      <c r="A188" t="str">
        <f t="shared" si="34"/>
        <v/>
      </c>
      <c r="B188" t="str">
        <f>Fastest!C188</f>
        <v/>
      </c>
      <c r="C188" t="str">
        <f>Fastest!AB188</f>
        <v/>
      </c>
      <c r="D188" t="str">
        <f>IF(ISNA(Fastest!AC188),"",Fastest!AC188)</f>
        <v/>
      </c>
      <c r="E188" t="str">
        <f t="shared" si="39"/>
        <v/>
      </c>
      <c r="F188" s="242">
        <v>179</v>
      </c>
      <c r="G188" s="243">
        <v>179</v>
      </c>
      <c r="H188" s="175" t="str">
        <f t="shared" si="28"/>
        <v/>
      </c>
      <c r="I188" s="176" t="str">
        <f t="shared" si="29"/>
        <v/>
      </c>
      <c r="J188" s="177"/>
      <c r="K188" s="177"/>
      <c r="L188" s="177"/>
      <c r="M188" s="177"/>
      <c r="N188" s="177"/>
      <c r="O188" s="144"/>
      <c r="P188" s="176" t="str">
        <f t="shared" si="30"/>
        <v/>
      </c>
      <c r="Q188" s="177"/>
      <c r="R188" s="177"/>
      <c r="S188" s="177"/>
      <c r="T188" s="177"/>
      <c r="U188" s="177"/>
      <c r="V188" s="177"/>
      <c r="W188" s="144"/>
      <c r="X188" s="178" t="str">
        <f t="shared" si="31"/>
        <v/>
      </c>
      <c r="Y188" s="179"/>
      <c r="Z188" s="145" t="str">
        <f t="shared" si="37"/>
        <v/>
      </c>
      <c r="AA188" s="146" t="str">
        <f t="shared" si="38"/>
        <v/>
      </c>
      <c r="AB188" s="176"/>
      <c r="AC188" s="163"/>
    </row>
    <row r="189" spans="1:29">
      <c r="A189" t="str">
        <f t="shared" si="34"/>
        <v/>
      </c>
      <c r="B189" t="str">
        <f>Fastest!C189</f>
        <v/>
      </c>
      <c r="C189" t="str">
        <f>Fastest!AB189</f>
        <v/>
      </c>
      <c r="D189" t="str">
        <f>IF(ISNA(Fastest!AC189),"",Fastest!AC189)</f>
        <v/>
      </c>
      <c r="E189" t="str">
        <f t="shared" si="39"/>
        <v/>
      </c>
      <c r="F189" s="242">
        <v>180</v>
      </c>
      <c r="G189" s="243">
        <v>180</v>
      </c>
      <c r="H189" s="175" t="str">
        <f t="shared" si="28"/>
        <v/>
      </c>
      <c r="I189" s="176" t="str">
        <f t="shared" si="29"/>
        <v/>
      </c>
      <c r="J189" s="177"/>
      <c r="K189" s="177"/>
      <c r="L189" s="177"/>
      <c r="M189" s="177"/>
      <c r="N189" s="177"/>
      <c r="O189" s="144"/>
      <c r="P189" s="176" t="str">
        <f t="shared" si="30"/>
        <v/>
      </c>
      <c r="Q189" s="177"/>
      <c r="R189" s="177"/>
      <c r="S189" s="177"/>
      <c r="T189" s="177"/>
      <c r="U189" s="177"/>
      <c r="V189" s="177"/>
      <c r="W189" s="144"/>
      <c r="X189" s="178" t="str">
        <f t="shared" si="31"/>
        <v/>
      </c>
      <c r="Y189" s="179"/>
      <c r="Z189" s="145" t="str">
        <f t="shared" si="37"/>
        <v/>
      </c>
      <c r="AA189" s="146" t="str">
        <f t="shared" si="38"/>
        <v/>
      </c>
      <c r="AB189" s="176"/>
      <c r="AC189" s="163"/>
    </row>
    <row r="190" spans="1:29">
      <c r="A190" t="str">
        <f t="shared" si="34"/>
        <v/>
      </c>
      <c r="B190" t="str">
        <f>Fastest!C190</f>
        <v/>
      </c>
      <c r="C190" t="str">
        <f>Fastest!AB190</f>
        <v/>
      </c>
      <c r="D190" t="str">
        <f>IF(ISNA(Fastest!AC190),"",Fastest!AC190)</f>
        <v/>
      </c>
      <c r="E190" t="str">
        <f t="shared" si="39"/>
        <v/>
      </c>
      <c r="F190" s="242">
        <v>181</v>
      </c>
      <c r="G190" s="243">
        <v>181</v>
      </c>
      <c r="H190" s="175" t="str">
        <f t="shared" si="28"/>
        <v/>
      </c>
      <c r="I190" s="176" t="str">
        <f t="shared" si="29"/>
        <v/>
      </c>
      <c r="J190" s="177"/>
      <c r="K190" s="177"/>
      <c r="L190" s="177"/>
      <c r="M190" s="177"/>
      <c r="N190" s="177"/>
      <c r="O190" s="144"/>
      <c r="P190" s="176" t="str">
        <f t="shared" si="30"/>
        <v/>
      </c>
      <c r="Q190" s="177"/>
      <c r="R190" s="177"/>
      <c r="S190" s="177"/>
      <c r="T190" s="177"/>
      <c r="U190" s="177"/>
      <c r="V190" s="177"/>
      <c r="W190" s="144"/>
      <c r="X190" s="178" t="str">
        <f t="shared" si="31"/>
        <v/>
      </c>
      <c r="Y190" s="179"/>
      <c r="Z190" s="145" t="str">
        <f t="shared" si="37"/>
        <v/>
      </c>
      <c r="AA190" s="146" t="str">
        <f t="shared" si="38"/>
        <v/>
      </c>
      <c r="AB190" s="176"/>
      <c r="AC190" s="163"/>
    </row>
    <row r="191" spans="1:29">
      <c r="A191" t="str">
        <f t="shared" si="34"/>
        <v/>
      </c>
      <c r="B191" t="str">
        <f>Fastest!C191</f>
        <v/>
      </c>
      <c r="C191" t="str">
        <f>Fastest!AB191</f>
        <v/>
      </c>
      <c r="D191" t="str">
        <f>IF(ISNA(Fastest!AC191),"",Fastest!AC191)</f>
        <v/>
      </c>
      <c r="E191" t="str">
        <f t="shared" si="39"/>
        <v/>
      </c>
      <c r="F191" s="242">
        <v>182</v>
      </c>
      <c r="G191" s="243">
        <v>182</v>
      </c>
      <c r="H191" s="175" t="str">
        <f t="shared" si="28"/>
        <v/>
      </c>
      <c r="I191" s="176" t="str">
        <f t="shared" si="29"/>
        <v/>
      </c>
      <c r="J191" s="177"/>
      <c r="K191" s="177"/>
      <c r="L191" s="177"/>
      <c r="M191" s="177"/>
      <c r="N191" s="177"/>
      <c r="O191" s="144"/>
      <c r="P191" s="176" t="str">
        <f t="shared" si="30"/>
        <v/>
      </c>
      <c r="Q191" s="177"/>
      <c r="R191" s="177"/>
      <c r="S191" s="177"/>
      <c r="T191" s="177"/>
      <c r="U191" s="177"/>
      <c r="V191" s="177"/>
      <c r="W191" s="144"/>
      <c r="X191" s="178" t="str">
        <f t="shared" si="31"/>
        <v/>
      </c>
      <c r="Y191" s="179"/>
      <c r="Z191" s="145" t="str">
        <f t="shared" si="37"/>
        <v/>
      </c>
      <c r="AA191" s="146" t="str">
        <f t="shared" si="38"/>
        <v/>
      </c>
      <c r="AB191" s="176"/>
      <c r="AC191" s="163"/>
    </row>
    <row r="192" spans="1:29">
      <c r="A192" t="str">
        <f t="shared" si="34"/>
        <v/>
      </c>
      <c r="B192" t="str">
        <f>Fastest!C192</f>
        <v/>
      </c>
      <c r="C192" t="str">
        <f>Fastest!AB192</f>
        <v/>
      </c>
      <c r="D192" t="str">
        <f>IF(ISNA(Fastest!AC192),"",Fastest!AC192)</f>
        <v/>
      </c>
      <c r="E192" t="str">
        <f t="shared" si="39"/>
        <v/>
      </c>
      <c r="F192" s="242">
        <v>183</v>
      </c>
      <c r="G192" s="243">
        <v>183</v>
      </c>
      <c r="H192" s="175" t="str">
        <f t="shared" si="28"/>
        <v/>
      </c>
      <c r="I192" s="176" t="str">
        <f t="shared" si="29"/>
        <v/>
      </c>
      <c r="J192" s="177"/>
      <c r="K192" s="177"/>
      <c r="L192" s="177"/>
      <c r="M192" s="177"/>
      <c r="N192" s="177"/>
      <c r="O192" s="144"/>
      <c r="P192" s="176" t="str">
        <f t="shared" si="30"/>
        <v/>
      </c>
      <c r="Q192" s="177"/>
      <c r="R192" s="177"/>
      <c r="S192" s="177"/>
      <c r="T192" s="177"/>
      <c r="U192" s="177"/>
      <c r="V192" s="177"/>
      <c r="W192" s="144"/>
      <c r="X192" s="178" t="str">
        <f t="shared" si="31"/>
        <v/>
      </c>
      <c r="Y192" s="179"/>
      <c r="Z192" s="145" t="str">
        <f t="shared" si="37"/>
        <v/>
      </c>
      <c r="AA192" s="146" t="str">
        <f t="shared" si="38"/>
        <v/>
      </c>
      <c r="AB192" s="176"/>
      <c r="AC192" s="163"/>
    </row>
    <row r="193" spans="1:29">
      <c r="A193" t="str">
        <f t="shared" si="34"/>
        <v/>
      </c>
      <c r="B193" t="str">
        <f>Fastest!C193</f>
        <v/>
      </c>
      <c r="C193" t="str">
        <f>Fastest!AB193</f>
        <v/>
      </c>
      <c r="D193" t="str">
        <f>IF(ISNA(Fastest!AC193),"",Fastest!AC193)</f>
        <v/>
      </c>
      <c r="E193" t="str">
        <f t="shared" si="39"/>
        <v/>
      </c>
      <c r="F193" s="242">
        <v>184</v>
      </c>
      <c r="G193" s="243">
        <v>184</v>
      </c>
      <c r="H193" s="175" t="str">
        <f t="shared" si="28"/>
        <v/>
      </c>
      <c r="I193" s="176" t="str">
        <f t="shared" si="29"/>
        <v/>
      </c>
      <c r="J193" s="177"/>
      <c r="K193" s="177"/>
      <c r="L193" s="177"/>
      <c r="M193" s="177"/>
      <c r="N193" s="177"/>
      <c r="O193" s="144"/>
      <c r="P193" s="176" t="str">
        <f t="shared" si="30"/>
        <v/>
      </c>
      <c r="Q193" s="177"/>
      <c r="R193" s="177"/>
      <c r="S193" s="177"/>
      <c r="T193" s="177"/>
      <c r="U193" s="177"/>
      <c r="V193" s="177"/>
      <c r="W193" s="144"/>
      <c r="X193" s="178" t="str">
        <f t="shared" si="31"/>
        <v/>
      </c>
      <c r="Y193" s="179"/>
      <c r="Z193" s="145" t="str">
        <f t="shared" si="37"/>
        <v/>
      </c>
      <c r="AA193" s="146" t="str">
        <f t="shared" si="38"/>
        <v/>
      </c>
      <c r="AB193" s="176"/>
      <c r="AC193" s="163"/>
    </row>
    <row r="194" spans="1:29">
      <c r="A194" t="str">
        <f t="shared" si="34"/>
        <v/>
      </c>
      <c r="B194" t="str">
        <f>Fastest!C194</f>
        <v/>
      </c>
      <c r="C194" t="str">
        <f>Fastest!AB194</f>
        <v/>
      </c>
      <c r="D194" t="str">
        <f>IF(ISNA(Fastest!AC194),"",Fastest!AC194)</f>
        <v/>
      </c>
      <c r="E194" t="str">
        <f t="shared" si="39"/>
        <v/>
      </c>
      <c r="F194" s="242">
        <v>185</v>
      </c>
      <c r="G194" s="243">
        <v>185</v>
      </c>
      <c r="H194" s="175" t="str">
        <f t="shared" si="28"/>
        <v/>
      </c>
      <c r="I194" s="176" t="str">
        <f t="shared" si="29"/>
        <v/>
      </c>
      <c r="J194" s="177"/>
      <c r="K194" s="177"/>
      <c r="L194" s="177"/>
      <c r="M194" s="177"/>
      <c r="N194" s="177"/>
      <c r="O194" s="144"/>
      <c r="P194" s="176" t="str">
        <f t="shared" si="30"/>
        <v/>
      </c>
      <c r="Q194" s="177"/>
      <c r="R194" s="177"/>
      <c r="S194" s="177"/>
      <c r="T194" s="177"/>
      <c r="U194" s="177"/>
      <c r="V194" s="177"/>
      <c r="W194" s="144"/>
      <c r="X194" s="178" t="str">
        <f t="shared" si="31"/>
        <v/>
      </c>
      <c r="Y194" s="179"/>
      <c r="Z194" s="145" t="str">
        <f t="shared" si="37"/>
        <v/>
      </c>
      <c r="AA194" s="146" t="str">
        <f t="shared" si="38"/>
        <v/>
      </c>
      <c r="AB194" s="176"/>
      <c r="AC194" s="163"/>
    </row>
    <row r="195" spans="1:29">
      <c r="A195" t="str">
        <f t="shared" si="34"/>
        <v/>
      </c>
      <c r="B195" t="str">
        <f>Fastest!C195</f>
        <v/>
      </c>
      <c r="C195" t="str">
        <f>Fastest!AB195</f>
        <v/>
      </c>
      <c r="D195" t="str">
        <f>IF(ISNA(Fastest!AC195),"",Fastest!AC195)</f>
        <v/>
      </c>
      <c r="E195" t="str">
        <f t="shared" si="39"/>
        <v/>
      </c>
      <c r="F195" s="242">
        <v>186</v>
      </c>
      <c r="G195" s="243">
        <v>186</v>
      </c>
      <c r="H195" s="175" t="str">
        <f t="shared" si="28"/>
        <v/>
      </c>
      <c r="I195" s="176" t="str">
        <f t="shared" si="29"/>
        <v/>
      </c>
      <c r="J195" s="177"/>
      <c r="K195" s="177"/>
      <c r="L195" s="177"/>
      <c r="M195" s="177"/>
      <c r="N195" s="177"/>
      <c r="O195" s="144"/>
      <c r="P195" s="176" t="str">
        <f t="shared" si="30"/>
        <v/>
      </c>
      <c r="Q195" s="177"/>
      <c r="R195" s="177"/>
      <c r="S195" s="177"/>
      <c r="T195" s="177"/>
      <c r="U195" s="177"/>
      <c r="V195" s="177"/>
      <c r="W195" s="144"/>
      <c r="X195" s="178" t="str">
        <f t="shared" si="31"/>
        <v/>
      </c>
      <c r="Y195" s="179"/>
      <c r="Z195" s="145" t="str">
        <f t="shared" si="37"/>
        <v/>
      </c>
      <c r="AA195" s="146" t="str">
        <f t="shared" si="38"/>
        <v/>
      </c>
      <c r="AB195" s="176"/>
      <c r="AC195" s="163"/>
    </row>
    <row r="196" spans="1:29">
      <c r="A196" t="str">
        <f t="shared" si="34"/>
        <v/>
      </c>
      <c r="B196" t="str">
        <f>Fastest!C196</f>
        <v/>
      </c>
      <c r="C196" t="str">
        <f>Fastest!AB196</f>
        <v/>
      </c>
      <c r="D196" t="str">
        <f>IF(ISNA(Fastest!AC196),"",Fastest!AC196)</f>
        <v/>
      </c>
      <c r="E196" t="str">
        <f t="shared" si="39"/>
        <v/>
      </c>
      <c r="F196" s="242">
        <v>187</v>
      </c>
      <c r="G196" s="243">
        <v>187</v>
      </c>
      <c r="H196" s="175" t="str">
        <f t="shared" si="28"/>
        <v/>
      </c>
      <c r="I196" s="176" t="str">
        <f t="shared" si="29"/>
        <v/>
      </c>
      <c r="J196" s="177"/>
      <c r="K196" s="177"/>
      <c r="L196" s="177"/>
      <c r="M196" s="177"/>
      <c r="N196" s="177"/>
      <c r="O196" s="144"/>
      <c r="P196" s="176" t="str">
        <f t="shared" si="30"/>
        <v/>
      </c>
      <c r="Q196" s="177"/>
      <c r="R196" s="177"/>
      <c r="S196" s="177"/>
      <c r="T196" s="177"/>
      <c r="U196" s="177"/>
      <c r="V196" s="177"/>
      <c r="W196" s="144"/>
      <c r="X196" s="178" t="str">
        <f t="shared" si="31"/>
        <v/>
      </c>
      <c r="Y196" s="179"/>
      <c r="Z196" s="145" t="str">
        <f t="shared" si="37"/>
        <v/>
      </c>
      <c r="AA196" s="146" t="str">
        <f t="shared" si="38"/>
        <v/>
      </c>
      <c r="AB196" s="176"/>
      <c r="AC196" s="163"/>
    </row>
    <row r="197" spans="1:29">
      <c r="A197" t="str">
        <f t="shared" si="34"/>
        <v/>
      </c>
      <c r="B197" t="str">
        <f>Fastest!C197</f>
        <v/>
      </c>
      <c r="C197" t="str">
        <f>Fastest!AB197</f>
        <v/>
      </c>
      <c r="D197" t="str">
        <f>IF(ISNA(Fastest!AC197),"",Fastest!AC197)</f>
        <v/>
      </c>
      <c r="E197" t="str">
        <f t="shared" si="39"/>
        <v/>
      </c>
      <c r="F197" s="242">
        <v>188</v>
      </c>
      <c r="G197" s="243">
        <v>188</v>
      </c>
      <c r="H197" s="175" t="str">
        <f t="shared" si="28"/>
        <v/>
      </c>
      <c r="I197" s="176" t="str">
        <f t="shared" si="29"/>
        <v/>
      </c>
      <c r="J197" s="177"/>
      <c r="K197" s="177"/>
      <c r="L197" s="177"/>
      <c r="M197" s="177"/>
      <c r="N197" s="177"/>
      <c r="O197" s="144"/>
      <c r="P197" s="176" t="str">
        <f t="shared" si="30"/>
        <v/>
      </c>
      <c r="Q197" s="177"/>
      <c r="R197" s="177"/>
      <c r="S197" s="177"/>
      <c r="T197" s="177"/>
      <c r="U197" s="177"/>
      <c r="V197" s="177"/>
      <c r="W197" s="144"/>
      <c r="X197" s="178" t="str">
        <f t="shared" si="31"/>
        <v/>
      </c>
      <c r="Y197" s="179"/>
      <c r="Z197" s="145" t="str">
        <f t="shared" si="37"/>
        <v/>
      </c>
      <c r="AA197" s="146" t="str">
        <f t="shared" si="38"/>
        <v/>
      </c>
      <c r="AB197" s="176"/>
      <c r="AC197" s="163"/>
    </row>
    <row r="198" spans="1:29">
      <c r="A198" t="str">
        <f t="shared" si="34"/>
        <v/>
      </c>
      <c r="B198" t="str">
        <f>Fastest!C198</f>
        <v/>
      </c>
      <c r="C198" t="str">
        <f>Fastest!AB198</f>
        <v/>
      </c>
      <c r="D198" t="str">
        <f>IF(ISNA(Fastest!AC198),"",Fastest!AC198)</f>
        <v/>
      </c>
      <c r="E198" t="str">
        <f t="shared" si="39"/>
        <v/>
      </c>
      <c r="F198" s="242">
        <v>189</v>
      </c>
      <c r="G198" s="243">
        <v>189</v>
      </c>
      <c r="H198" s="175" t="str">
        <f t="shared" si="28"/>
        <v/>
      </c>
      <c r="I198" s="176" t="str">
        <f t="shared" si="29"/>
        <v/>
      </c>
      <c r="J198" s="177"/>
      <c r="K198" s="177"/>
      <c r="L198" s="177"/>
      <c r="M198" s="177"/>
      <c r="N198" s="177"/>
      <c r="O198" s="144"/>
      <c r="P198" s="176" t="str">
        <f t="shared" si="30"/>
        <v/>
      </c>
      <c r="Q198" s="177"/>
      <c r="R198" s="177"/>
      <c r="S198" s="177"/>
      <c r="T198" s="177"/>
      <c r="U198" s="177"/>
      <c r="V198" s="177"/>
      <c r="W198" s="144"/>
      <c r="X198" s="178" t="str">
        <f t="shared" si="31"/>
        <v/>
      </c>
      <c r="Y198" s="179"/>
      <c r="Z198" s="145" t="str">
        <f t="shared" si="37"/>
        <v/>
      </c>
      <c r="AA198" s="146" t="str">
        <f t="shared" si="38"/>
        <v/>
      </c>
      <c r="AB198" s="176"/>
      <c r="AC198" s="163"/>
    </row>
    <row r="199" spans="1:29">
      <c r="A199" t="str">
        <f t="shared" si="34"/>
        <v/>
      </c>
      <c r="B199" t="str">
        <f>Fastest!C199</f>
        <v/>
      </c>
      <c r="C199" t="str">
        <f>Fastest!AB199</f>
        <v/>
      </c>
      <c r="D199" t="str">
        <f>IF(ISNA(Fastest!AC199),"",Fastest!AC199)</f>
        <v/>
      </c>
      <c r="E199" t="str">
        <f t="shared" si="39"/>
        <v/>
      </c>
      <c r="F199" s="242">
        <v>190</v>
      </c>
      <c r="G199" s="243">
        <v>190</v>
      </c>
      <c r="H199" s="175" t="str">
        <f t="shared" si="28"/>
        <v/>
      </c>
      <c r="I199" s="176" t="str">
        <f t="shared" si="29"/>
        <v/>
      </c>
      <c r="J199" s="177"/>
      <c r="K199" s="177"/>
      <c r="L199" s="177"/>
      <c r="M199" s="177"/>
      <c r="N199" s="177"/>
      <c r="O199" s="144"/>
      <c r="P199" s="176" t="str">
        <f t="shared" si="30"/>
        <v/>
      </c>
      <c r="Q199" s="177"/>
      <c r="R199" s="177"/>
      <c r="S199" s="177"/>
      <c r="T199" s="177"/>
      <c r="U199" s="177"/>
      <c r="V199" s="177"/>
      <c r="W199" s="144"/>
      <c r="X199" s="178" t="str">
        <f t="shared" si="31"/>
        <v/>
      </c>
      <c r="Y199" s="179"/>
      <c r="Z199" s="145" t="str">
        <f t="shared" si="37"/>
        <v/>
      </c>
      <c r="AA199" s="146" t="str">
        <f t="shared" si="38"/>
        <v/>
      </c>
      <c r="AB199" s="176"/>
      <c r="AC199" s="163"/>
    </row>
    <row r="200" spans="1:29">
      <c r="A200" t="str">
        <f t="shared" si="34"/>
        <v/>
      </c>
      <c r="B200" t="str">
        <f>Fastest!C200</f>
        <v/>
      </c>
      <c r="C200" t="str">
        <f>Fastest!AB200</f>
        <v/>
      </c>
      <c r="D200" t="str">
        <f>IF(ISNA(Fastest!AC200),"",Fastest!AC200)</f>
        <v/>
      </c>
      <c r="E200" t="str">
        <f t="shared" si="39"/>
        <v/>
      </c>
      <c r="F200" s="242">
        <v>191</v>
      </c>
      <c r="G200" s="243">
        <v>191</v>
      </c>
      <c r="H200" s="175" t="str">
        <f t="shared" si="28"/>
        <v/>
      </c>
      <c r="I200" s="176" t="str">
        <f t="shared" si="29"/>
        <v/>
      </c>
      <c r="J200" s="177"/>
      <c r="K200" s="177"/>
      <c r="L200" s="177"/>
      <c r="M200" s="177"/>
      <c r="N200" s="177"/>
      <c r="O200" s="144"/>
      <c r="P200" s="176" t="str">
        <f t="shared" si="30"/>
        <v/>
      </c>
      <c r="Q200" s="177"/>
      <c r="R200" s="177"/>
      <c r="S200" s="177"/>
      <c r="T200" s="177"/>
      <c r="U200" s="177"/>
      <c r="V200" s="177"/>
      <c r="W200" s="144"/>
      <c r="X200" s="178" t="str">
        <f t="shared" si="31"/>
        <v/>
      </c>
      <c r="Y200" s="179"/>
      <c r="Z200" s="145" t="str">
        <f t="shared" si="37"/>
        <v/>
      </c>
      <c r="AA200" s="146" t="str">
        <f t="shared" si="38"/>
        <v/>
      </c>
      <c r="AB200" s="176"/>
      <c r="AC200" s="163"/>
    </row>
    <row r="201" spans="1:29">
      <c r="A201" t="str">
        <f t="shared" si="34"/>
        <v/>
      </c>
      <c r="B201" t="str">
        <f>Fastest!C201</f>
        <v/>
      </c>
      <c r="C201" t="str">
        <f>Fastest!AB201</f>
        <v/>
      </c>
      <c r="D201" t="str">
        <f>IF(ISNA(Fastest!AC201),"",Fastest!AC201)</f>
        <v/>
      </c>
      <c r="E201" t="str">
        <f t="shared" si="39"/>
        <v/>
      </c>
      <c r="F201" s="242">
        <v>192</v>
      </c>
      <c r="G201" s="243">
        <v>192</v>
      </c>
      <c r="H201" s="175" t="str">
        <f t="shared" si="28"/>
        <v/>
      </c>
      <c r="I201" s="176" t="str">
        <f t="shared" si="29"/>
        <v/>
      </c>
      <c r="J201" s="177"/>
      <c r="K201" s="177"/>
      <c r="L201" s="177"/>
      <c r="M201" s="177"/>
      <c r="N201" s="177"/>
      <c r="O201" s="144"/>
      <c r="P201" s="176" t="str">
        <f t="shared" si="30"/>
        <v/>
      </c>
      <c r="Q201" s="177"/>
      <c r="R201" s="177"/>
      <c r="S201" s="177"/>
      <c r="T201" s="177"/>
      <c r="U201" s="177"/>
      <c r="V201" s="177"/>
      <c r="W201" s="144"/>
      <c r="X201" s="178" t="str">
        <f t="shared" si="31"/>
        <v/>
      </c>
      <c r="Y201" s="179"/>
      <c r="Z201" s="145" t="str">
        <f t="shared" si="37"/>
        <v/>
      </c>
      <c r="AA201" s="146" t="str">
        <f t="shared" si="38"/>
        <v/>
      </c>
      <c r="AB201" s="176"/>
      <c r="AC201" s="163"/>
    </row>
    <row r="202" spans="1:29">
      <c r="A202" t="str">
        <f t="shared" si="34"/>
        <v/>
      </c>
      <c r="B202" t="str">
        <f>Fastest!C202</f>
        <v/>
      </c>
      <c r="C202" t="str">
        <f>Fastest!AB202</f>
        <v/>
      </c>
      <c r="D202" t="str">
        <f>IF(ISNA(Fastest!AC202),"",Fastest!AC202)</f>
        <v/>
      </c>
      <c r="E202" t="str">
        <f t="shared" si="39"/>
        <v/>
      </c>
      <c r="F202" s="242">
        <v>193</v>
      </c>
      <c r="G202" s="243">
        <v>193</v>
      </c>
      <c r="H202" s="175" t="str">
        <f t="shared" ref="H202:H209" si="40">IF(IF(ISNA(VLOOKUP($F202,Vet,2,FALSE)),"",VLOOKUP($F202,Vet,2,FALSE))=0,"",IF(ISNA(VLOOKUP($F202,Vet,2,FALSE)),"",VLOOKUP($F202,Vet,2,FALSE)))</f>
        <v/>
      </c>
      <c r="I202" s="176" t="str">
        <f t="shared" ref="I202:I209" si="41">IF(IF(ISNA(VLOOKUP($H202,Field,2,FALSE)),"",VLOOKUP($H202,Field,2,FALSE))=0,"",IF(ISNA(VLOOKUP($H202,Field,2,FALSE)),"",VLOOKUP($H202,Field,2,FALSE)))</f>
        <v/>
      </c>
      <c r="J202" s="177"/>
      <c r="K202" s="177"/>
      <c r="L202" s="177"/>
      <c r="M202" s="177"/>
      <c r="N202" s="177"/>
      <c r="O202" s="144"/>
      <c r="P202" s="176" t="str">
        <f t="shared" ref="P202:P209" si="42">IF(IF(ISNA(VLOOKUP($H202,Field,3,FALSE)),"",VLOOKUP($H202,Field,3,FALSE))=0,"",IF(ISNA(VLOOKUP($H202,Field,3,FALSE)),"",VLOOKUP($H202,Field,3,FALSE)))</f>
        <v/>
      </c>
      <c r="Q202" s="177"/>
      <c r="R202" s="177"/>
      <c r="S202" s="177"/>
      <c r="T202" s="177"/>
      <c r="U202" s="177"/>
      <c r="V202" s="177"/>
      <c r="W202" s="144"/>
      <c r="X202" s="178" t="str">
        <f t="shared" ref="X202:X209" si="43">IF(IF(ISNA(VLOOKUP($H202,Field,5,FALSE)),"",VLOOKUP($H202,Field,5,FALSE))=0,"",IF(ISNA(VLOOKUP($H202,Field,5,FALSE)),"",VLOOKUP($H202,Field,5,FALSE)))</f>
        <v/>
      </c>
      <c r="Y202" s="179"/>
      <c r="Z202" s="145" t="str">
        <f t="shared" si="37"/>
        <v/>
      </c>
      <c r="AA202" s="146" t="str">
        <f t="shared" si="38"/>
        <v/>
      </c>
      <c r="AB202" s="176"/>
      <c r="AC202" s="163"/>
    </row>
    <row r="203" spans="1:29">
      <c r="A203" t="str">
        <f t="shared" ref="A203:A209" si="44">IF(ISERROR(RANK(E203,$E$10:$E$209,0)),"",RANK(E203,$E$10:$E$209,0))</f>
        <v/>
      </c>
      <c r="B203" t="str">
        <f>Fastest!C203</f>
        <v/>
      </c>
      <c r="C203" t="str">
        <f>Fastest!AB203</f>
        <v/>
      </c>
      <c r="D203" t="str">
        <f>IF(ISNA(Fastest!AC203),"",Fastest!AC203)</f>
        <v/>
      </c>
      <c r="E203" t="str">
        <f t="shared" si="39"/>
        <v/>
      </c>
      <c r="F203" s="242">
        <v>194</v>
      </c>
      <c r="G203" s="243">
        <v>194</v>
      </c>
      <c r="H203" s="175" t="str">
        <f t="shared" si="40"/>
        <v/>
      </c>
      <c r="I203" s="176" t="str">
        <f t="shared" si="41"/>
        <v/>
      </c>
      <c r="J203" s="177"/>
      <c r="K203" s="177"/>
      <c r="L203" s="177"/>
      <c r="M203" s="177"/>
      <c r="N203" s="177"/>
      <c r="O203" s="144"/>
      <c r="P203" s="176" t="str">
        <f t="shared" si="42"/>
        <v/>
      </c>
      <c r="Q203" s="177"/>
      <c r="R203" s="177"/>
      <c r="S203" s="177"/>
      <c r="T203" s="177"/>
      <c r="U203" s="177"/>
      <c r="V203" s="177"/>
      <c r="W203" s="144"/>
      <c r="X203" s="178" t="str">
        <f t="shared" si="43"/>
        <v/>
      </c>
      <c r="Y203" s="179"/>
      <c r="Z203" s="145" t="str">
        <f t="shared" si="37"/>
        <v/>
      </c>
      <c r="AA203" s="146" t="str">
        <f t="shared" si="38"/>
        <v/>
      </c>
      <c r="AB203" s="176"/>
      <c r="AC203" s="163"/>
    </row>
    <row r="204" spans="1:29">
      <c r="A204" t="str">
        <f t="shared" si="44"/>
        <v/>
      </c>
      <c r="B204" t="str">
        <f>Fastest!C204</f>
        <v/>
      </c>
      <c r="C204" t="str">
        <f>Fastest!AB204</f>
        <v/>
      </c>
      <c r="D204" t="str">
        <f>IF(ISNA(Fastest!AC204),"",Fastest!AC204)</f>
        <v/>
      </c>
      <c r="E204" t="str">
        <f t="shared" si="39"/>
        <v/>
      </c>
      <c r="F204" s="242">
        <v>195</v>
      </c>
      <c r="G204" s="243">
        <v>195</v>
      </c>
      <c r="H204" s="175" t="str">
        <f t="shared" si="40"/>
        <v/>
      </c>
      <c r="I204" s="176" t="str">
        <f t="shared" si="41"/>
        <v/>
      </c>
      <c r="J204" s="177"/>
      <c r="K204" s="177"/>
      <c r="L204" s="177"/>
      <c r="M204" s="177"/>
      <c r="N204" s="177"/>
      <c r="O204" s="144"/>
      <c r="P204" s="176" t="str">
        <f t="shared" si="42"/>
        <v/>
      </c>
      <c r="Q204" s="177"/>
      <c r="R204" s="177"/>
      <c r="S204" s="177"/>
      <c r="T204" s="177"/>
      <c r="U204" s="177"/>
      <c r="V204" s="177"/>
      <c r="W204" s="144"/>
      <c r="X204" s="178" t="str">
        <f t="shared" si="43"/>
        <v/>
      </c>
      <c r="Y204" s="179"/>
      <c r="Z204" s="145" t="str">
        <f t="shared" si="37"/>
        <v/>
      </c>
      <c r="AA204" s="146" t="str">
        <f t="shared" si="38"/>
        <v/>
      </c>
      <c r="AB204" s="176"/>
      <c r="AC204" s="163"/>
    </row>
    <row r="205" spans="1:29">
      <c r="A205" t="str">
        <f t="shared" si="44"/>
        <v/>
      </c>
      <c r="B205" t="str">
        <f>Fastest!C205</f>
        <v/>
      </c>
      <c r="C205" t="str">
        <f>Fastest!AB205</f>
        <v/>
      </c>
      <c r="D205" t="str">
        <f>IF(ISNA(Fastest!AC205),"",Fastest!AC205)</f>
        <v/>
      </c>
      <c r="E205" t="str">
        <f t="shared" si="39"/>
        <v/>
      </c>
      <c r="F205" s="242">
        <v>196</v>
      </c>
      <c r="G205" s="243">
        <v>196</v>
      </c>
      <c r="H205" s="175" t="str">
        <f t="shared" si="40"/>
        <v/>
      </c>
      <c r="I205" s="176" t="str">
        <f t="shared" si="41"/>
        <v/>
      </c>
      <c r="J205" s="177"/>
      <c r="K205" s="177"/>
      <c r="L205" s="177"/>
      <c r="M205" s="177"/>
      <c r="N205" s="177"/>
      <c r="O205" s="144"/>
      <c r="P205" s="176" t="str">
        <f t="shared" si="42"/>
        <v/>
      </c>
      <c r="Q205" s="177"/>
      <c r="R205" s="177"/>
      <c r="S205" s="177"/>
      <c r="T205" s="177"/>
      <c r="U205" s="177"/>
      <c r="V205" s="177"/>
      <c r="W205" s="144"/>
      <c r="X205" s="178" t="str">
        <f t="shared" si="43"/>
        <v/>
      </c>
      <c r="Y205" s="179"/>
      <c r="Z205" s="145" t="str">
        <f t="shared" si="37"/>
        <v/>
      </c>
      <c r="AA205" s="146" t="str">
        <f t="shared" si="38"/>
        <v/>
      </c>
      <c r="AB205" s="176"/>
      <c r="AC205" s="163"/>
    </row>
    <row r="206" spans="1:29">
      <c r="A206" t="str">
        <f t="shared" si="44"/>
        <v/>
      </c>
      <c r="B206" t="str">
        <f>Fastest!C206</f>
        <v/>
      </c>
      <c r="C206" t="str">
        <f>Fastest!AB206</f>
        <v/>
      </c>
      <c r="D206" t="str">
        <f>IF(ISNA(Fastest!AC206),"",Fastest!AC206)</f>
        <v/>
      </c>
      <c r="E206" t="str">
        <f t="shared" si="39"/>
        <v/>
      </c>
      <c r="F206" s="242">
        <v>197</v>
      </c>
      <c r="G206" s="243">
        <v>197</v>
      </c>
      <c r="H206" s="175" t="str">
        <f t="shared" si="40"/>
        <v/>
      </c>
      <c r="I206" s="176" t="str">
        <f t="shared" si="41"/>
        <v/>
      </c>
      <c r="J206" s="177"/>
      <c r="K206" s="177"/>
      <c r="L206" s="177"/>
      <c r="M206" s="177"/>
      <c r="N206" s="177"/>
      <c r="O206" s="144"/>
      <c r="P206" s="176" t="str">
        <f t="shared" si="42"/>
        <v/>
      </c>
      <c r="Q206" s="177"/>
      <c r="R206" s="177"/>
      <c r="S206" s="177"/>
      <c r="T206" s="177"/>
      <c r="U206" s="177"/>
      <c r="V206" s="177"/>
      <c r="W206" s="144"/>
      <c r="X206" s="178" t="str">
        <f t="shared" si="43"/>
        <v/>
      </c>
      <c r="Y206" s="179"/>
      <c r="Z206" s="145" t="str">
        <f t="shared" si="37"/>
        <v/>
      </c>
      <c r="AA206" s="146" t="str">
        <f t="shared" si="38"/>
        <v/>
      </c>
      <c r="AB206" s="176"/>
      <c r="AC206" s="163"/>
    </row>
    <row r="207" spans="1:29">
      <c r="A207" t="str">
        <f t="shared" si="44"/>
        <v/>
      </c>
      <c r="B207" t="str">
        <f>Fastest!C207</f>
        <v/>
      </c>
      <c r="C207" t="str">
        <f>Fastest!AB207</f>
        <v/>
      </c>
      <c r="D207" t="str">
        <f>IF(ISNA(Fastest!AC207),"",Fastest!AC207)</f>
        <v/>
      </c>
      <c r="E207" t="str">
        <f t="shared" si="39"/>
        <v/>
      </c>
      <c r="F207" s="242">
        <v>198</v>
      </c>
      <c r="G207" s="243">
        <v>198</v>
      </c>
      <c r="H207" s="175" t="str">
        <f t="shared" si="40"/>
        <v/>
      </c>
      <c r="I207" s="176" t="str">
        <f t="shared" si="41"/>
        <v/>
      </c>
      <c r="J207" s="177"/>
      <c r="K207" s="177"/>
      <c r="L207" s="177"/>
      <c r="M207" s="177"/>
      <c r="N207" s="177"/>
      <c r="O207" s="144"/>
      <c r="P207" s="176" t="str">
        <f t="shared" si="42"/>
        <v/>
      </c>
      <c r="Q207" s="177"/>
      <c r="R207" s="177"/>
      <c r="S207" s="177"/>
      <c r="T207" s="177"/>
      <c r="U207" s="177"/>
      <c r="V207" s="177"/>
      <c r="W207" s="144"/>
      <c r="X207" s="178" t="str">
        <f t="shared" si="43"/>
        <v/>
      </c>
      <c r="Y207" s="179"/>
      <c r="Z207" s="145" t="str">
        <f t="shared" si="37"/>
        <v/>
      </c>
      <c r="AA207" s="146" t="str">
        <f t="shared" si="38"/>
        <v/>
      </c>
      <c r="AB207" s="176"/>
      <c r="AC207" s="163"/>
    </row>
    <row r="208" spans="1:29">
      <c r="A208" t="str">
        <f t="shared" si="44"/>
        <v/>
      </c>
      <c r="B208" t="str">
        <f>Fastest!C208</f>
        <v/>
      </c>
      <c r="C208" t="str">
        <f>Fastest!AB208</f>
        <v/>
      </c>
      <c r="D208" t="str">
        <f>IF(ISNA(Fastest!AC208),"",Fastest!AC208)</f>
        <v/>
      </c>
      <c r="E208" t="str">
        <f t="shared" si="39"/>
        <v/>
      </c>
      <c r="F208" s="242">
        <v>199</v>
      </c>
      <c r="G208" s="243">
        <v>199</v>
      </c>
      <c r="H208" s="175" t="str">
        <f t="shared" si="40"/>
        <v/>
      </c>
      <c r="I208" s="176" t="str">
        <f t="shared" si="41"/>
        <v/>
      </c>
      <c r="J208" s="177"/>
      <c r="K208" s="177"/>
      <c r="L208" s="177"/>
      <c r="M208" s="177"/>
      <c r="N208" s="177"/>
      <c r="O208" s="144"/>
      <c r="P208" s="176" t="str">
        <f t="shared" si="42"/>
        <v/>
      </c>
      <c r="Q208" s="177"/>
      <c r="R208" s="177"/>
      <c r="S208" s="177"/>
      <c r="T208" s="177"/>
      <c r="U208" s="177"/>
      <c r="V208" s="177"/>
      <c r="W208" s="144"/>
      <c r="X208" s="178" t="str">
        <f t="shared" si="43"/>
        <v/>
      </c>
      <c r="Y208" s="179"/>
      <c r="Z208" s="145" t="str">
        <f t="shared" si="37"/>
        <v/>
      </c>
      <c r="AA208" s="146" t="str">
        <f t="shared" si="38"/>
        <v/>
      </c>
      <c r="AB208" s="176"/>
      <c r="AC208" s="163"/>
    </row>
    <row r="209" spans="1:29">
      <c r="A209" t="str">
        <f t="shared" si="44"/>
        <v/>
      </c>
      <c r="B209" t="str">
        <f>Fastest!C209</f>
        <v/>
      </c>
      <c r="C209" t="str">
        <f>Fastest!AB209</f>
        <v/>
      </c>
      <c r="D209" t="str">
        <f>IF(ISNA(Fastest!AC209),"",Fastest!AC209)</f>
        <v/>
      </c>
      <c r="E209" t="str">
        <f t="shared" si="39"/>
        <v/>
      </c>
      <c r="F209" s="240">
        <v>200</v>
      </c>
      <c r="G209" s="241">
        <v>200</v>
      </c>
      <c r="H209" s="181" t="str">
        <f t="shared" si="40"/>
        <v/>
      </c>
      <c r="I209" s="182" t="str">
        <f t="shared" si="41"/>
        <v/>
      </c>
      <c r="J209" s="183"/>
      <c r="K209" s="183"/>
      <c r="L209" s="183"/>
      <c r="M209" s="183"/>
      <c r="N209" s="183"/>
      <c r="O209" s="149"/>
      <c r="P209" s="182" t="str">
        <f t="shared" si="42"/>
        <v/>
      </c>
      <c r="Q209" s="183"/>
      <c r="R209" s="183"/>
      <c r="S209" s="183"/>
      <c r="T209" s="183"/>
      <c r="U209" s="183"/>
      <c r="V209" s="183"/>
      <c r="W209" s="149"/>
      <c r="X209" s="184" t="str">
        <f t="shared" si="43"/>
        <v/>
      </c>
      <c r="Y209" s="185"/>
      <c r="Z209" s="150" t="str">
        <f t="shared" si="37"/>
        <v/>
      </c>
      <c r="AA209" s="151" t="str">
        <f t="shared" si="38"/>
        <v/>
      </c>
      <c r="AB209" s="182"/>
      <c r="AC209" s="164"/>
    </row>
  </sheetData>
  <sheetProtection password="BC93" sheet="1"/>
  <mergeCells count="6">
    <mergeCell ref="K4:T4"/>
    <mergeCell ref="Y3:AB3"/>
    <mergeCell ref="Y4:AB4"/>
    <mergeCell ref="Y5:AB5"/>
    <mergeCell ref="Y6:AB6"/>
    <mergeCell ref="K5:L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33"/>
  <sheetViews>
    <sheetView topLeftCell="A11" workbookViewId="0">
      <selection activeCell="D32" sqref="D32"/>
    </sheetView>
  </sheetViews>
  <sheetFormatPr defaultRowHeight="13.15"/>
  <cols>
    <col min="1" max="1" width="10.140625" bestFit="1" customWidth="1"/>
    <col min="3" max="3" width="117.85546875" customWidth="1"/>
    <col min="4" max="4" width="18.42578125" customWidth="1"/>
  </cols>
  <sheetData>
    <row r="1" spans="1:4" ht="21">
      <c r="A1" s="103" t="s">
        <v>116</v>
      </c>
      <c r="B1" s="103"/>
      <c r="C1" s="103"/>
    </row>
    <row r="3" spans="1:4">
      <c r="A3" s="30" t="s">
        <v>117</v>
      </c>
      <c r="B3" s="64" t="s">
        <v>118</v>
      </c>
      <c r="C3" s="12" t="s">
        <v>119</v>
      </c>
      <c r="D3" s="12" t="s">
        <v>120</v>
      </c>
    </row>
    <row r="4" spans="1:4">
      <c r="A4" s="104">
        <v>41336</v>
      </c>
      <c r="B4" s="35">
        <v>6</v>
      </c>
      <c r="C4" t="s">
        <v>121</v>
      </c>
    </row>
    <row r="5" spans="1:4">
      <c r="A5" s="104">
        <v>41404</v>
      </c>
      <c r="B5" s="35">
        <v>7</v>
      </c>
      <c r="C5" s="1" t="s">
        <v>122</v>
      </c>
      <c r="D5" s="1" t="s">
        <v>123</v>
      </c>
    </row>
    <row r="6" spans="1:4">
      <c r="A6" s="104"/>
      <c r="B6" s="35">
        <v>7</v>
      </c>
      <c r="C6" s="1" t="s">
        <v>124</v>
      </c>
      <c r="D6" s="1" t="s">
        <v>123</v>
      </c>
    </row>
    <row r="7" spans="1:4">
      <c r="A7" s="105"/>
      <c r="B7" s="35">
        <v>7</v>
      </c>
      <c r="C7" s="1" t="s">
        <v>125</v>
      </c>
    </row>
    <row r="8" spans="1:4">
      <c r="A8" s="105"/>
      <c r="B8" s="35">
        <v>7</v>
      </c>
      <c r="C8" s="1" t="s">
        <v>126</v>
      </c>
      <c r="D8" s="1" t="s">
        <v>127</v>
      </c>
    </row>
    <row r="9" spans="1:4">
      <c r="A9" s="105"/>
      <c r="B9" s="35">
        <v>7</v>
      </c>
      <c r="C9" s="1" t="s">
        <v>128</v>
      </c>
    </row>
    <row r="10" spans="1:4">
      <c r="A10" s="104">
        <v>41404</v>
      </c>
      <c r="B10" s="65">
        <v>8</v>
      </c>
      <c r="C10" s="1" t="s">
        <v>129</v>
      </c>
      <c r="D10" s="1" t="s">
        <v>123</v>
      </c>
    </row>
    <row r="11" spans="1:4">
      <c r="A11" s="104">
        <v>41422</v>
      </c>
      <c r="B11" s="35">
        <v>9</v>
      </c>
      <c r="C11" s="1" t="s">
        <v>130</v>
      </c>
    </row>
    <row r="12" spans="1:4">
      <c r="A12" s="104">
        <v>41466</v>
      </c>
      <c r="B12" s="35">
        <v>10</v>
      </c>
      <c r="C12" s="1" t="s">
        <v>131</v>
      </c>
      <c r="D12" t="s">
        <v>132</v>
      </c>
    </row>
    <row r="13" spans="1:4">
      <c r="A13" s="104">
        <v>41661</v>
      </c>
      <c r="B13" s="35">
        <v>11</v>
      </c>
      <c r="C13" s="1" t="s">
        <v>133</v>
      </c>
    </row>
    <row r="14" spans="1:4">
      <c r="A14" s="105"/>
      <c r="B14" s="35">
        <v>12</v>
      </c>
      <c r="C14" s="1" t="s">
        <v>134</v>
      </c>
    </row>
    <row r="15" spans="1:4">
      <c r="A15" s="104">
        <v>41713</v>
      </c>
      <c r="B15" s="35">
        <v>13</v>
      </c>
      <c r="C15" s="1" t="s">
        <v>135</v>
      </c>
      <c r="D15" t="s">
        <v>136</v>
      </c>
    </row>
    <row r="16" spans="1:4">
      <c r="A16" s="104">
        <v>41824</v>
      </c>
      <c r="B16" s="35">
        <v>14</v>
      </c>
      <c r="C16" s="1" t="s">
        <v>137</v>
      </c>
    </row>
    <row r="17" spans="1:4">
      <c r="A17" s="104">
        <v>42068</v>
      </c>
      <c r="B17" s="35">
        <v>15</v>
      </c>
      <c r="C17" s="1" t="s">
        <v>138</v>
      </c>
      <c r="D17" t="s">
        <v>132</v>
      </c>
    </row>
    <row r="18" spans="1:4">
      <c r="A18" s="104">
        <v>42093</v>
      </c>
      <c r="B18" s="35">
        <v>16</v>
      </c>
      <c r="C18" s="1" t="s">
        <v>139</v>
      </c>
    </row>
    <row r="19" spans="1:4">
      <c r="A19" s="104">
        <v>42242</v>
      </c>
      <c r="B19" s="35">
        <v>17</v>
      </c>
      <c r="C19" s="1" t="s">
        <v>140</v>
      </c>
      <c r="D19" t="s">
        <v>141</v>
      </c>
    </row>
    <row r="20" spans="1:4">
      <c r="A20" s="104">
        <v>42404</v>
      </c>
      <c r="B20" s="35">
        <v>18</v>
      </c>
      <c r="C20" s="1" t="s">
        <v>142</v>
      </c>
      <c r="D20" t="s">
        <v>143</v>
      </c>
    </row>
    <row r="21" spans="1:4">
      <c r="A21" s="104">
        <v>42404</v>
      </c>
      <c r="B21" s="35">
        <v>19</v>
      </c>
      <c r="C21" s="1" t="s">
        <v>144</v>
      </c>
      <c r="D21" t="s">
        <v>143</v>
      </c>
    </row>
    <row r="22" spans="1:4">
      <c r="A22" s="104">
        <v>42483</v>
      </c>
      <c r="B22" s="35">
        <v>20</v>
      </c>
      <c r="C22" s="1" t="s">
        <v>145</v>
      </c>
      <c r="D22" s="1" t="s">
        <v>146</v>
      </c>
    </row>
    <row r="23" spans="1:4">
      <c r="A23" s="104">
        <v>42626</v>
      </c>
      <c r="B23" s="35">
        <v>21</v>
      </c>
      <c r="C23" s="1" t="s">
        <v>147</v>
      </c>
      <c r="D23" s="1"/>
    </row>
    <row r="24" spans="1:4">
      <c r="A24" s="104">
        <v>42414</v>
      </c>
      <c r="B24" s="35">
        <v>22</v>
      </c>
      <c r="C24" s="1" t="s">
        <v>148</v>
      </c>
      <c r="D24" s="1" t="s">
        <v>149</v>
      </c>
    </row>
    <row r="25" spans="1:4">
      <c r="A25" s="104">
        <v>42414</v>
      </c>
      <c r="B25" s="35">
        <v>22</v>
      </c>
      <c r="C25" s="1" t="s">
        <v>150</v>
      </c>
    </row>
    <row r="26" spans="1:4">
      <c r="A26" s="104">
        <v>42479</v>
      </c>
      <c r="B26" s="35">
        <v>23</v>
      </c>
      <c r="C26" s="1" t="s">
        <v>151</v>
      </c>
      <c r="D26" s="1" t="s">
        <v>152</v>
      </c>
    </row>
    <row r="27" spans="1:4">
      <c r="A27" s="104">
        <v>43399</v>
      </c>
      <c r="B27" s="35">
        <v>24</v>
      </c>
      <c r="C27" s="1" t="s">
        <v>153</v>
      </c>
    </row>
    <row r="28" spans="1:4">
      <c r="A28" s="104">
        <v>43155</v>
      </c>
      <c r="B28" s="35">
        <v>25</v>
      </c>
      <c r="C28" s="1" t="s">
        <v>154</v>
      </c>
    </row>
    <row r="29" spans="1:4">
      <c r="A29" s="104">
        <v>43621</v>
      </c>
      <c r="B29" s="35">
        <v>26</v>
      </c>
      <c r="C29" s="1" t="s">
        <v>155</v>
      </c>
      <c r="D29" t="s">
        <v>156</v>
      </c>
    </row>
    <row r="30" spans="1:4">
      <c r="A30" s="104">
        <v>44727</v>
      </c>
      <c r="B30" s="35">
        <v>27</v>
      </c>
      <c r="C30" s="1" t="s">
        <v>157</v>
      </c>
      <c r="D30" t="s">
        <v>158</v>
      </c>
    </row>
    <row r="31" spans="1:4">
      <c r="A31" s="104">
        <v>44733</v>
      </c>
      <c r="B31" s="35">
        <v>28</v>
      </c>
      <c r="C31" s="1" t="s">
        <v>159</v>
      </c>
      <c r="D31" t="s">
        <v>160</v>
      </c>
    </row>
    <row r="32" spans="1:4">
      <c r="A32" s="105"/>
    </row>
    <row r="33" spans="1:1">
      <c r="A33" s="105"/>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autoPageBreaks="0"/>
  </sheetPr>
  <dimension ref="A1:U52"/>
  <sheetViews>
    <sheetView showGridLines="0" topLeftCell="A23" zoomScaleNormal="100" workbookViewId="0">
      <selection activeCell="B21" sqref="B21:H21"/>
    </sheetView>
  </sheetViews>
  <sheetFormatPr defaultColWidth="9.140625" defaultRowHeight="13.15"/>
  <cols>
    <col min="1" max="1" width="21.85546875" style="28" customWidth="1"/>
    <col min="2" max="2" width="5.5703125" style="28" customWidth="1"/>
    <col min="3" max="3" width="4.7109375" style="28" customWidth="1"/>
    <col min="4" max="4" width="5.85546875" style="28" customWidth="1"/>
    <col min="5" max="13" width="4.7109375" style="28" customWidth="1"/>
    <col min="14" max="18" width="9.140625" style="28"/>
    <col min="19" max="19" width="10.28515625" style="28" hidden="1" customWidth="1"/>
    <col min="20" max="16384" width="9.140625" style="28"/>
  </cols>
  <sheetData>
    <row r="1" spans="1:19" ht="20.100000000000001" customHeight="1"/>
    <row r="2" spans="1:19" ht="21">
      <c r="A2" s="256" t="s">
        <v>7</v>
      </c>
      <c r="C2" s="118"/>
      <c r="D2" s="118"/>
      <c r="E2" s="118"/>
      <c r="F2" s="118"/>
      <c r="G2" s="118"/>
    </row>
    <row r="4" spans="1:19" ht="18" customHeight="1">
      <c r="A4" s="263" t="s">
        <v>8</v>
      </c>
      <c r="B4" s="264"/>
      <c r="C4" s="264"/>
      <c r="D4" s="264"/>
      <c r="E4" s="264"/>
      <c r="F4" s="264"/>
      <c r="G4" s="264"/>
      <c r="H4" s="264"/>
    </row>
    <row r="5" spans="1:19">
      <c r="A5" s="28" t="s">
        <v>9</v>
      </c>
    </row>
    <row r="6" spans="1:19" ht="12.75" customHeight="1">
      <c r="A6" s="29" t="s">
        <v>10</v>
      </c>
    </row>
    <row r="7" spans="1:19" ht="12.75" customHeight="1">
      <c r="A7" s="29"/>
    </row>
    <row r="8" spans="1:19" ht="15" customHeight="1">
      <c r="A8" s="119" t="s">
        <v>11</v>
      </c>
      <c r="B8" s="261" t="s">
        <v>12</v>
      </c>
      <c r="C8" s="262"/>
      <c r="D8" s="262"/>
      <c r="E8" s="262"/>
      <c r="F8" s="262"/>
      <c r="G8" s="262"/>
      <c r="H8" s="262"/>
      <c r="I8" s="120"/>
    </row>
    <row r="9" spans="1:19" ht="15" customHeight="1">
      <c r="A9" s="119" t="s">
        <v>13</v>
      </c>
      <c r="B9" s="129" t="s">
        <v>14</v>
      </c>
      <c r="C9" s="116">
        <v>7</v>
      </c>
      <c r="D9" s="129" t="s">
        <v>15</v>
      </c>
      <c r="E9" s="116">
        <v>9</v>
      </c>
      <c r="F9" s="129" t="s">
        <v>16</v>
      </c>
      <c r="G9" s="116">
        <v>2025</v>
      </c>
      <c r="H9" s="121"/>
      <c r="I9" s="120"/>
      <c r="J9" s="68"/>
      <c r="S9" s="122">
        <f>DATE(G9,E9,C9)</f>
        <v>45907</v>
      </c>
    </row>
    <row r="10" spans="1:19" ht="15" customHeight="1">
      <c r="A10" s="123" t="s">
        <v>17</v>
      </c>
      <c r="B10" s="130" t="s">
        <v>18</v>
      </c>
      <c r="C10" s="116">
        <v>9</v>
      </c>
      <c r="D10" s="130" t="s">
        <v>19</v>
      </c>
      <c r="E10" s="117">
        <v>0</v>
      </c>
      <c r="F10" s="124"/>
      <c r="G10" s="125"/>
      <c r="I10" s="120"/>
      <c r="J10" s="68"/>
      <c r="S10" s="126">
        <f>TIME(C10,E10,0)</f>
        <v>0.375</v>
      </c>
    </row>
    <row r="11" spans="1:19" ht="15" customHeight="1">
      <c r="A11" s="119" t="s">
        <v>20</v>
      </c>
      <c r="B11" s="78">
        <v>10</v>
      </c>
      <c r="C11" s="127" t="s">
        <v>21</v>
      </c>
      <c r="M11" s="120"/>
    </row>
    <row r="12" spans="1:19" ht="15" customHeight="1">
      <c r="A12" s="119" t="s">
        <v>22</v>
      </c>
      <c r="B12" s="77"/>
      <c r="C12" s="127" t="s">
        <v>23</v>
      </c>
      <c r="J12" s="120"/>
    </row>
    <row r="13" spans="1:19" ht="15" customHeight="1">
      <c r="A13" s="119" t="s">
        <v>24</v>
      </c>
      <c r="B13" s="261" t="s">
        <v>25</v>
      </c>
      <c r="C13" s="262"/>
      <c r="D13" s="262"/>
      <c r="E13" s="262"/>
      <c r="F13" s="262"/>
      <c r="G13" s="262"/>
      <c r="H13" s="262"/>
    </row>
    <row r="14" spans="1:19" ht="15" customHeight="1">
      <c r="A14" s="119" t="s">
        <v>26</v>
      </c>
      <c r="B14" s="261"/>
      <c r="C14" s="262"/>
      <c r="D14" s="262"/>
      <c r="E14" s="262"/>
      <c r="F14" s="262"/>
      <c r="G14" s="262"/>
      <c r="H14" s="262"/>
      <c r="I14" s="120"/>
    </row>
    <row r="15" spans="1:19" ht="15" customHeight="1">
      <c r="A15" s="119" t="s">
        <v>27</v>
      </c>
      <c r="B15" s="261" t="s">
        <v>28</v>
      </c>
      <c r="C15" s="262"/>
      <c r="D15" s="262"/>
      <c r="E15" s="262"/>
      <c r="F15" s="262"/>
      <c r="G15" s="262"/>
      <c r="H15" s="262"/>
      <c r="S15" s="28">
        <v>10</v>
      </c>
    </row>
    <row r="16" spans="1:19" ht="15" customHeight="1">
      <c r="A16" s="119" t="s">
        <v>29</v>
      </c>
      <c r="B16" s="265">
        <v>7713506988</v>
      </c>
      <c r="C16" s="266"/>
      <c r="D16" s="266"/>
      <c r="E16" s="266"/>
      <c r="F16" s="266"/>
      <c r="G16" s="266"/>
      <c r="H16" s="266"/>
      <c r="S16" s="28">
        <v>15</v>
      </c>
    </row>
    <row r="17" spans="1:21" ht="15" customHeight="1">
      <c r="A17" s="119" t="s">
        <v>30</v>
      </c>
      <c r="B17" s="261" t="s">
        <v>31</v>
      </c>
      <c r="C17" s="262"/>
      <c r="D17" s="262"/>
      <c r="E17" s="262"/>
      <c r="F17" s="262"/>
      <c r="G17" s="262"/>
      <c r="H17" s="262"/>
      <c r="S17" s="28">
        <v>25</v>
      </c>
    </row>
    <row r="18" spans="1:21" ht="15" customHeight="1">
      <c r="A18" s="119" t="s">
        <v>32</v>
      </c>
      <c r="B18" s="261" t="s">
        <v>33</v>
      </c>
      <c r="C18" s="262"/>
      <c r="D18" s="262"/>
      <c r="E18" s="262"/>
      <c r="F18" s="262"/>
      <c r="G18" s="262"/>
      <c r="H18" s="262"/>
      <c r="S18" s="28">
        <v>30</v>
      </c>
    </row>
    <row r="19" spans="1:21" ht="15" customHeight="1">
      <c r="A19" s="119" t="s">
        <v>34</v>
      </c>
      <c r="B19" s="261"/>
      <c r="C19" s="262"/>
      <c r="D19" s="262"/>
      <c r="E19" s="262"/>
      <c r="F19" s="262"/>
      <c r="G19" s="262"/>
      <c r="H19" s="262"/>
      <c r="S19" s="28">
        <v>50</v>
      </c>
    </row>
    <row r="20" spans="1:21" ht="15" customHeight="1">
      <c r="A20" s="119" t="s">
        <v>35</v>
      </c>
      <c r="B20" s="261"/>
      <c r="C20" s="262"/>
      <c r="D20" s="262"/>
      <c r="E20" s="262"/>
      <c r="F20" s="262"/>
      <c r="G20" s="262"/>
      <c r="H20" s="262"/>
      <c r="S20" s="28">
        <v>100</v>
      </c>
    </row>
    <row r="21" spans="1:21" ht="15" customHeight="1">
      <c r="A21" s="119" t="s">
        <v>36</v>
      </c>
      <c r="B21" s="261" t="s">
        <v>37</v>
      </c>
      <c r="C21" s="262"/>
      <c r="D21" s="262"/>
      <c r="E21" s="262"/>
      <c r="F21" s="262"/>
      <c r="G21" s="262"/>
      <c r="H21" s="262"/>
    </row>
    <row r="22" spans="1:21" ht="15" customHeight="1">
      <c r="A22" s="119" t="s">
        <v>34</v>
      </c>
      <c r="B22" s="261"/>
      <c r="C22" s="262"/>
      <c r="D22" s="262"/>
      <c r="E22" s="262"/>
      <c r="F22" s="262"/>
      <c r="G22" s="262"/>
      <c r="H22" s="262"/>
    </row>
    <row r="23" spans="1:21" ht="15" customHeight="1">
      <c r="A23" s="119" t="s">
        <v>35</v>
      </c>
      <c r="B23" s="261"/>
      <c r="C23" s="262"/>
      <c r="D23" s="262"/>
      <c r="E23" s="262"/>
      <c r="F23" s="262"/>
      <c r="G23" s="262"/>
      <c r="H23" s="262"/>
    </row>
    <row r="25" spans="1:21">
      <c r="U25" s="128"/>
    </row>
    <row r="26" spans="1:21">
      <c r="U26" s="128"/>
    </row>
    <row r="27" spans="1:21">
      <c r="U27" s="128"/>
    </row>
    <row r="28" spans="1:21">
      <c r="U28" s="128"/>
    </row>
    <row r="29" spans="1:21">
      <c r="U29" s="128"/>
    </row>
    <row r="30" spans="1:21">
      <c r="U30" s="128"/>
    </row>
    <row r="31" spans="1:21">
      <c r="U31" s="128"/>
    </row>
    <row r="32" spans="1:21">
      <c r="U32" s="128"/>
    </row>
    <row r="46" ht="12.75" customHeight="1"/>
    <row r="47" ht="12.75" customHeight="1"/>
    <row r="48" ht="12.75" customHeight="1"/>
    <row r="49" ht="12.75" customHeight="1"/>
    <row r="50" ht="12.75" customHeight="1"/>
    <row r="51" ht="12.75" customHeight="1"/>
    <row r="52" ht="12.75" customHeight="1"/>
  </sheetData>
  <sheetProtection selectLockedCells="1"/>
  <mergeCells count="13">
    <mergeCell ref="A4:H4"/>
    <mergeCell ref="B16:H16"/>
    <mergeCell ref="B8:H8"/>
    <mergeCell ref="B13:H13"/>
    <mergeCell ref="B14:H14"/>
    <mergeCell ref="B15:H15"/>
    <mergeCell ref="B23:H23"/>
    <mergeCell ref="B20:H20"/>
    <mergeCell ref="B17:H17"/>
    <mergeCell ref="B18:H18"/>
    <mergeCell ref="B19:H19"/>
    <mergeCell ref="B21:H21"/>
    <mergeCell ref="B22:H22"/>
  </mergeCells>
  <phoneticPr fontId="13" type="noConversion"/>
  <dataValidations xWindow="199" yWindow="378" count="7">
    <dataValidation type="list" showErrorMessage="1" promptTitle="TT Distance" prompt="Please select the distance of Time Trial" sqref="B11" xr:uid="{00000000-0002-0000-0100-000000000000}">
      <formula1>Distance</formula1>
    </dataValidation>
    <dataValidation type="whole" allowBlank="1" showInputMessage="1" showErrorMessage="1" errorTitle="Error" error="Please select a value between 1 and 31" promptTitle="Day Validation" prompt="Please select a value between 1 and 31" sqref="C9" xr:uid="{00000000-0002-0000-0100-000001000000}">
      <formula1>1</formula1>
      <formula2>31</formula2>
    </dataValidation>
    <dataValidation type="whole" allowBlank="1" showInputMessage="1" showErrorMessage="1" errorTitle="ERROR" error="Please select a value between 1 and 12" promptTitle="Month Validation" prompt="Please select a value between 1 and 12" sqref="E9" xr:uid="{00000000-0002-0000-0100-000002000000}">
      <formula1>1</formula1>
      <formula2>12</formula2>
    </dataValidation>
    <dataValidation type="whole" allowBlank="1" showInputMessage="1" showErrorMessage="1" errorTitle="ERROR" error="Please enter the appropriate year e.g. 2011" promptTitle="Year Validation" prompt="Please enter the appropriate year e.g. 2011" sqref="G10" xr:uid="{00000000-0002-0000-0100-000003000000}">
      <formula1>2011</formula1>
      <formula2>2015</formula2>
    </dataValidation>
    <dataValidation type="whole" allowBlank="1" showInputMessage="1" showErrorMessage="1" errorTitle="ERROR" error="Please select a value between 0 and 24" promptTitle="Hour Validation" prompt="Please select a value between 0 and 24" sqref="C10" xr:uid="{00000000-0002-0000-0100-000004000000}">
      <formula1>0</formula1>
      <formula2>24</formula2>
    </dataValidation>
    <dataValidation type="whole" allowBlank="1" showInputMessage="1" showErrorMessage="1" errorTitle="ERROR" error="Please select a value between 1 and 12" promptTitle="Minute Validation" prompt="Please select a value between 0 and 59. It should be 1 minute before the start time of rider number 1." sqref="E10" xr:uid="{00000000-0002-0000-0100-000005000000}">
      <formula1>0</formula1>
      <formula2>59</formula2>
    </dataValidation>
    <dataValidation type="whole" allowBlank="1" showInputMessage="1" showErrorMessage="1" errorTitle="ERROR" error="Please enter the appropriate year e.g. 2011" promptTitle="Year Validation" prompt="Please enter the appropriate year e.g. 2011" sqref="G9" xr:uid="{00000000-0002-0000-0100-000006000000}">
      <formula1>2011</formula1>
      <formula2>2030</formula2>
    </dataValidation>
  </dataValidations>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4"/>
  </sheetPr>
  <dimension ref="A1:Z208"/>
  <sheetViews>
    <sheetView topLeftCell="A50" zoomScale="94" workbookViewId="0">
      <selection activeCell="F74" sqref="F74"/>
    </sheetView>
  </sheetViews>
  <sheetFormatPr defaultColWidth="9.140625" defaultRowHeight="13.15"/>
  <cols>
    <col min="1" max="1" width="6.28515625" style="28" customWidth="1"/>
    <col min="2" max="2" width="11.140625" style="28" customWidth="1"/>
    <col min="3" max="3" width="11.5703125" style="28" customWidth="1"/>
    <col min="4" max="4" width="18.85546875" style="28" customWidth="1"/>
    <col min="5" max="5" width="24.5703125" style="28" customWidth="1"/>
    <col min="6" max="6" width="5.28515625" style="28" customWidth="1"/>
    <col min="7" max="7" width="8.5703125" style="28" customWidth="1"/>
    <col min="8" max="8" width="9.140625" style="28"/>
    <col min="9" max="9" width="12.28515625" style="28" customWidth="1"/>
    <col min="10" max="10" width="10.42578125" style="28" hidden="1" customWidth="1"/>
    <col min="11" max="11" width="8.42578125" style="28" hidden="1" customWidth="1"/>
    <col min="12" max="12" width="9.28515625" style="28" hidden="1" customWidth="1"/>
    <col min="13" max="13" width="10.42578125" style="28" hidden="1" customWidth="1"/>
    <col min="14" max="14" width="8" style="28" hidden="1" customWidth="1"/>
    <col min="15" max="15" width="9.140625" style="28" hidden="1" customWidth="1"/>
    <col min="16" max="16" width="10.42578125" style="28" customWidth="1"/>
    <col min="17" max="17" width="10.140625" style="28" bestFit="1" customWidth="1"/>
    <col min="18" max="19" width="9.140625" style="28" hidden="1" customWidth="1"/>
    <col min="20" max="20" width="9.140625" style="28"/>
    <col min="21" max="21" width="15.28515625" style="28" customWidth="1"/>
    <col min="22" max="22" width="15.7109375" style="28" customWidth="1"/>
    <col min="23" max="23" width="17.7109375" style="28" customWidth="1"/>
    <col min="24" max="16384" width="9.140625" style="28"/>
  </cols>
  <sheetData>
    <row r="1" spans="1:26" ht="26.45">
      <c r="A1" s="63" t="s">
        <v>38</v>
      </c>
      <c r="B1" s="63" t="s">
        <v>39</v>
      </c>
      <c r="C1" s="63" t="s">
        <v>40</v>
      </c>
      <c r="D1" s="30" t="s">
        <v>41</v>
      </c>
      <c r="E1" s="12" t="s">
        <v>42</v>
      </c>
      <c r="F1" s="12" t="s">
        <v>43</v>
      </c>
      <c r="G1" s="63" t="s">
        <v>44</v>
      </c>
      <c r="H1" s="63" t="s">
        <v>45</v>
      </c>
      <c r="I1" s="64" t="s">
        <v>46</v>
      </c>
      <c r="J1" s="1">
        <v>10</v>
      </c>
      <c r="K1" s="1">
        <v>15</v>
      </c>
      <c r="L1" s="1">
        <v>25</v>
      </c>
      <c r="M1" s="1">
        <v>30</v>
      </c>
      <c r="N1" s="65">
        <v>50</v>
      </c>
      <c r="O1" s="65">
        <v>100</v>
      </c>
      <c r="P1" s="64" t="s">
        <v>47</v>
      </c>
      <c r="Q1" s="64" t="s">
        <v>0</v>
      </c>
      <c r="R1" s="65" t="s">
        <v>48</v>
      </c>
      <c r="S1" s="65" t="s">
        <v>49</v>
      </c>
      <c r="T1" s="64" t="s">
        <v>50</v>
      </c>
      <c r="U1" s="12" t="s">
        <v>51</v>
      </c>
      <c r="V1" s="12" t="s">
        <v>51</v>
      </c>
      <c r="W1" s="12" t="s">
        <v>51</v>
      </c>
    </row>
    <row r="2" spans="1:26">
      <c r="A2" s="36">
        <v>9</v>
      </c>
      <c r="B2" s="133" t="str">
        <f>"Fiona"</f>
        <v>Fiona</v>
      </c>
      <c r="C2" s="133" t="str">
        <f>"Barrett"</f>
        <v>Barrett</v>
      </c>
      <c r="D2" s="1" t="str">
        <f>CONCATENATE(B2," ",C2)</f>
        <v>Fiona Barrett</v>
      </c>
      <c r="E2" s="29" t="str">
        <f>"Inverness Cycle Club"</f>
        <v>Inverness Cycle Club</v>
      </c>
      <c r="F2" s="29" t="s">
        <v>52</v>
      </c>
      <c r="G2" s="29" t="str">
        <f>"1121741"</f>
        <v>1121741</v>
      </c>
      <c r="H2" s="257">
        <v>2.2916666666666665E-2</v>
      </c>
      <c r="I2" s="131" t="str">
        <f>"09/08/1964"</f>
        <v>09/08/1964</v>
      </c>
      <c r="J2" s="100">
        <f>IF(FacingSheet!$B$11=10,IF(ISERROR(((((H2*1440)-20)*60)-(((H2*1440)-20)^1.6)*2.5)/86400),"",((((H2*1440)-20)*60)-(((H2*1440)-20)^1.6)*2.5)/86400),"")</f>
        <v>7.2749645989447671E-3</v>
      </c>
      <c r="K2" s="100" t="str">
        <f>IF(FacingSheet!$B$11=15,IF(ISERROR(((((H2*1440)-33)*60)-(((H2*1440)-33)^1.6)*1.667)/86400),"",((((H2*1440)-33)*60)-(((H2*1440)-33)^1.6)*1.667)/86400),"")</f>
        <v/>
      </c>
      <c r="L2" s="100" t="str">
        <f>IF(FacingSheet!$B$11=25,IF(ISERROR(((((H2*1440)-50)*60)-(((H2*1440)-50)^1.6))/86400),"",((((H2*1440)-50)*60)-(((H2*1440)-50)^1.6))/86400),"")</f>
        <v/>
      </c>
      <c r="M2" s="100" t="str">
        <f>IF(FacingSheet!$B$11=30,IF(ISERROR(((((H2*1440)-60)*60)-((((H2*1440)-60)^1.6))/1.2)/86400),"",((((H2*1440)-60)*60)-((((H2*1440)-60)^1.6))/1.2)/86400),"")</f>
        <v/>
      </c>
      <c r="N2" s="100" t="str">
        <f>IF(FacingSheet!$B$11=50,IF(ISERROR(((((H2*1440)-105)*60)-((((H2*1440)-105)^1.6))/2)/86400),"",((((H2*1440)-105)*60)-((((H2*1440)-105)^1.6))/2)/86400),"")</f>
        <v/>
      </c>
      <c r="O2" s="100" t="str">
        <f>IF(FacingSheet!$B$11=100,IF(ISERROR(((((H2*1440)-230)*60)-((((H2*1440)-230)^1.6))/4)/86400),"",((((H2*1440)-230)*60)-((((H2*1440)-230)^1.6))/4)/86400),"")</f>
        <v/>
      </c>
      <c r="P2" s="108">
        <f>IF(FacingSheet!$B$11=10,J2,IF(FacingSheet!$B$11=15,K2,IF(FacingSheet!$B$11=25,L2,IF(FacingSheet!$B$11=30,M2,IF(FacingSheet!$B$11=50,N2,IF(FacingSheet!$B$11=100,O2,""))))))</f>
        <v>7.2749645989447671E-3</v>
      </c>
      <c r="Q2" s="65">
        <f>IF(OR(F2="V",F2="FV"),IF(I2="","",IF(MONTH(FacingSheet!$S$9)&gt;MONTH(I2),YEAR(FacingSheet!$S$9)-YEAR(I2),IF(AND(MONTH(FacingSheet!$S$9)=MONTH(I2),DAY(FacingSheet!$S$9)&gt;=DAY(I2)),YEAR(FacingSheet!$S$9)-YEAR(I2),(YEAR(FacingSheet!$S$9)-YEAR(I2))-1))),"")</f>
        <v>61</v>
      </c>
      <c r="R2" s="108">
        <f>IF(Q2="","",IF(FacingSheet!$B$11=10,VLOOKUP(Q2,Age,2,FALSE),IF(FacingSheet!$B$11=15,VLOOKUP(Q2,Age,3,FALSE),IF(FacingSheet!$B$11=25,VLOOKUP(Q2,Age,4,FALSE),IF(FacingSheet!$B$11=30,VLOOKUP(Q2,Age,5,FALSE),IF(FacingSheet!$B$11=50,VLOOKUP(Q2,Age,6,FALSE),IF(FacingSheet!$B$11=100,VLOOKUP(Q2,Age,7,FALSE),"")))))))</f>
        <v>1.9270833333333334E-2</v>
      </c>
      <c r="S2" s="108">
        <f>IF(Q2="","",IF(FacingSheet!$B$11=10,VLOOKUP(Q2,AgeF,2,FALSE),IF(FacingSheet!$B$11=15,VLOOKUP(Q2,AgeF,3,FALSE),IF(FacingSheet!$B$11=25,VLOOKUP(Q2,AgeF,4,FALSE),IF(FacingSheet!$B$11=30,VLOOKUP(Q2,AgeF,5,FALSE),IF(FacingSheet!$B$11=50,VLOOKUP(Q2,AgeF,6,FALSE),IF(FacingSheet!$B$11=100,VLOOKUP(Q2,AgeF,7,FALSE),"")))))))</f>
        <v>2.0937500000000001E-2</v>
      </c>
      <c r="T2" s="108">
        <f>IF(F2="V",R2,IF(F2="FV",S2,""))</f>
        <v>2.0937500000000001E-2</v>
      </c>
      <c r="U2" s="29"/>
      <c r="V2" s="29"/>
      <c r="W2" s="29"/>
      <c r="X2" s="132"/>
      <c r="Y2" s="132"/>
      <c r="Z2" s="132"/>
    </row>
    <row r="3" spans="1:26">
      <c r="A3" s="36">
        <v>11</v>
      </c>
      <c r="B3" s="133" t="str">
        <f>"Breagha"</f>
        <v>Breagha</v>
      </c>
      <c r="C3" s="133" t="str">
        <f>"Beaton"</f>
        <v>Beaton</v>
      </c>
      <c r="D3" s="1" t="str">
        <f t="shared" ref="D3:D66" si="0">CONCATENATE(B3," ",C3)</f>
        <v>Breagha Beaton</v>
      </c>
      <c r="E3" s="29" t="str">
        <f>"Moray Firth Cycling Club"</f>
        <v>Moray Firth Cycling Club</v>
      </c>
      <c r="F3" s="29" t="s">
        <v>53</v>
      </c>
      <c r="G3" s="29" t="str">
        <f>"1726711"</f>
        <v>1726711</v>
      </c>
      <c r="H3" s="257">
        <v>1.8287037037037036E-2</v>
      </c>
      <c r="I3" s="131" t="str">
        <f>"09/06/1988"</f>
        <v>09/06/1988</v>
      </c>
      <c r="J3" s="100">
        <f>IF(FacingSheet!$B$11=10,IF(ISERROR(((((H3*1440)-20)*60)-(((H3*1440)-20)^1.6)*2.5)/86400),"",((((H3*1440)-20)*60)-(((H3*1440)-20)^1.6)*2.5)/86400),"")</f>
        <v>3.8434738785409523E-3</v>
      </c>
      <c r="K3" s="100" t="str">
        <f>IF(FacingSheet!$B$11=15,IF(ISERROR(((((H3*1440)-33)*60)-(((H3*1440)-33)^1.6)*1.667)/86400),"",((((H3*1440)-33)*60)-(((H3*1440)-33)^1.6)*1.667)/86400),"")</f>
        <v/>
      </c>
      <c r="L3" s="100" t="str">
        <f>IF(FacingSheet!$B$11=25,IF(ISERROR(((((H3*1440)-50)*60)-(((H3*1440)-50)^1.6))/86400),"",((((H3*1440)-50)*60)-(((H3*1440)-50)^1.6))/86400),"")</f>
        <v/>
      </c>
      <c r="M3" s="100" t="str">
        <f>IF(FacingSheet!$B$11=30,IF(ISERROR(((((H3*1440)-60)*60)-((((H3*1440)-60)^1.6))/1.2)/86400),"",((((H3*1440)-60)*60)-((((H3*1440)-60)^1.6))/1.2)/86400),"")</f>
        <v/>
      </c>
      <c r="N3" s="100" t="str">
        <f>IF(FacingSheet!$B$11=50,IF(ISERROR(((((H3*1440)-105)*60)-((((H3*1440)-105)^1.6))/2)/86400),"",((((H3*1440)-105)*60)-((((H3*1440)-105)^1.6))/2)/86400),"")</f>
        <v/>
      </c>
      <c r="O3" s="100" t="str">
        <f>IF(FacingSheet!$B$11=100,IF(ISERROR(((((H3*1440)-230)*60)-((((H3*1440)-230)^1.6))/4)/86400),"",((((H3*1440)-230)*60)-((((H3*1440)-230)^1.6))/4)/86400),"")</f>
        <v/>
      </c>
      <c r="P3" s="108">
        <f>IF(FacingSheet!$B$11=10,J3,IF(FacingSheet!$B$11=15,K3,IF(FacingSheet!$B$11=25,L3,IF(FacingSheet!$B$11=30,M3,IF(FacingSheet!$B$11=50,N3,IF(FacingSheet!$B$11=100,O3,""))))))</f>
        <v>3.8434738785409523E-3</v>
      </c>
      <c r="Q3" s="65" t="str">
        <f>IF(OR(F3="V",F3="FV"),IF(I3="","",IF(MONTH(FacingSheet!$S$9)&gt;MONTH(I3),YEAR(FacingSheet!$S$9)-YEAR(I3),IF(AND(MONTH(FacingSheet!$S$9)=MONTH(I3),DAY(FacingSheet!$S$9)&gt;=DAY(I3)),YEAR(FacingSheet!$S$9)-YEAR(I3),(YEAR(FacingSheet!$S$9)-YEAR(I3))-1))),"")</f>
        <v/>
      </c>
      <c r="R3" s="108" t="str">
        <f>IF(Q3="","",IF(FacingSheet!$B$11=10,VLOOKUP(Q3,Age,2,FALSE),IF(FacingSheet!$B$11=15,VLOOKUP(Q3,Age,3,FALSE),IF(FacingSheet!$B$11=25,VLOOKUP(Q3,Age,4,FALSE),IF(FacingSheet!$B$11=30,VLOOKUP(Q3,Age,5,FALSE),IF(FacingSheet!$B$11=50,VLOOKUP(Q3,Age,6,FALSE),IF(FacingSheet!$B$11=100,VLOOKUP(Q3,Age,7,FALSE),"")))))))</f>
        <v/>
      </c>
      <c r="S3" s="108" t="str">
        <f>IF(Q3="","",IF(FacingSheet!$B$11=10,VLOOKUP(Q3,AgeF,2,FALSE),IF(FacingSheet!$B$11=15,VLOOKUP(Q3,AgeF,3,FALSE),IF(FacingSheet!$B$11=25,VLOOKUP(Q3,AgeF,4,FALSE),IF(FacingSheet!$B$11=30,VLOOKUP(Q3,AgeF,5,FALSE),IF(FacingSheet!$B$11=50,VLOOKUP(Q3,AgeF,6,FALSE),IF(FacingSheet!$B$11=100,VLOOKUP(Q3,AgeF,7,FALSE),"")))))))</f>
        <v/>
      </c>
      <c r="T3" s="108" t="str">
        <f t="shared" ref="T3:T30" si="1">IF(F3="V",R3,IF(F3="FV",S3,""))</f>
        <v/>
      </c>
      <c r="U3" s="255"/>
      <c r="V3" s="29"/>
      <c r="W3" s="29"/>
      <c r="X3" s="132"/>
      <c r="Y3" s="132"/>
      <c r="Z3" s="132"/>
    </row>
    <row r="4" spans="1:26">
      <c r="A4" s="36">
        <v>27</v>
      </c>
      <c r="B4" s="133" t="str">
        <f>"Lorna"</f>
        <v>Lorna</v>
      </c>
      <c r="C4" s="133" t="str">
        <f>"Breetzke"</f>
        <v>Breetzke</v>
      </c>
      <c r="D4" s="1" t="str">
        <f t="shared" si="0"/>
        <v>Lorna Breetzke</v>
      </c>
      <c r="E4" s="29" t="str">
        <f>"Elgin CC"</f>
        <v>Elgin CC</v>
      </c>
      <c r="F4" s="29" t="s">
        <v>52</v>
      </c>
      <c r="G4" s="29" t="str">
        <f>"1494994"</f>
        <v>1494994</v>
      </c>
      <c r="H4" s="193">
        <v>1.6006944444444445E-2</v>
      </c>
      <c r="I4" s="131" t="str">
        <f>"25/03/1979"</f>
        <v>25/03/1979</v>
      </c>
      <c r="J4" s="100">
        <f>IF(FacingSheet!$B$11=10,IF(ISERROR(((((H4*1440)-20)*60)-(((H4*1440)-20)^1.6)*2.5)/86400),"",((((H4*1440)-20)*60)-(((H4*1440)-20)^1.6)*2.5)/86400),"")</f>
        <v>1.9457473303597162E-3</v>
      </c>
      <c r="K4" s="100" t="str">
        <f>IF(FacingSheet!$B$11=15,IF(ISERROR(((((H4*1440)-33)*60)-(((H4*1440)-33)^1.6)*1.667)/86400),"",((((H4*1440)-33)*60)-(((H4*1440)-33)^1.6)*1.667)/86400),"")</f>
        <v/>
      </c>
      <c r="L4" s="100" t="str">
        <f>IF(FacingSheet!$B$11=25,IF(ISERROR(((((H4*1440)-50)*60)-(((H4*1440)-50)^1.6))/86400),"",((((H4*1440)-50)*60)-(((H4*1440)-50)^1.6))/86400),"")</f>
        <v/>
      </c>
      <c r="M4" s="100" t="str">
        <f>IF(FacingSheet!$B$11=30,IF(ISERROR(((((H4*1440)-60)*60)-((((H4*1440)-60)^1.6))/1.2)/86400),"",((((H4*1440)-60)*60)-((((H4*1440)-60)^1.6))/1.2)/86400),"")</f>
        <v/>
      </c>
      <c r="N4" s="100" t="str">
        <f>IF(FacingSheet!$B$11=50,IF(ISERROR(((((H4*1440)-105)*60)-((((H4*1440)-105)^1.6))/2)/86400),"",((((H4*1440)-105)*60)-((((H4*1440)-105)^1.6))/2)/86400),"")</f>
        <v/>
      </c>
      <c r="O4" s="100" t="str">
        <f>IF(FacingSheet!$B$11=100,IF(ISERROR(((((H4*1440)-230)*60)-((((H4*1440)-230)^1.6))/4)/86400),"",((((H4*1440)-230)*60)-((((H4*1440)-230)^1.6))/4)/86400),"")</f>
        <v/>
      </c>
      <c r="P4" s="108">
        <f>IF(FacingSheet!$B$11=10,J4,IF(FacingSheet!$B$11=15,K4,IF(FacingSheet!$B$11=25,L4,IF(FacingSheet!$B$11=30,M4,IF(FacingSheet!$B$11=50,N4,IF(FacingSheet!$B$11=100,O4,""))))))</f>
        <v>1.9457473303597162E-3</v>
      </c>
      <c r="Q4" s="65">
        <f>IF(OR(F4="V",F4="FV"),IF(I4="","",IF(MONTH(FacingSheet!$S$9)&gt;MONTH(I4),YEAR(FacingSheet!$S$9)-YEAR(I4),IF(AND(MONTH(FacingSheet!$S$9)=MONTH(I4),DAY(FacingSheet!$S$9)&gt;=DAY(I4)),YEAR(FacingSheet!$S$9)-YEAR(I4),(YEAR(FacingSheet!$S$9)-YEAR(I4))-1))),"")</f>
        <v>46</v>
      </c>
      <c r="R4" s="108">
        <f>IF(Q4="","",IF(FacingSheet!$B$11=10,VLOOKUP(Q4,Age,2,FALSE),IF(FacingSheet!$B$11=15,VLOOKUP(Q4,Age,3,FALSE),IF(FacingSheet!$B$11=25,VLOOKUP(Q4,Age,4,FALSE),IF(FacingSheet!$B$11=30,VLOOKUP(Q4,Age,5,FALSE),IF(FacingSheet!$B$11=50,VLOOKUP(Q4,Age,6,FALSE),IF(FacingSheet!$B$11=100,VLOOKUP(Q4,Age,7,FALSE),"")))))))</f>
        <v>1.8414351851851852E-2</v>
      </c>
      <c r="S4" s="108">
        <f>IF(Q4="","",IF(FacingSheet!$B$11=10,VLOOKUP(Q4,AgeF,2,FALSE),IF(FacingSheet!$B$11=15,VLOOKUP(Q4,AgeF,3,FALSE),IF(FacingSheet!$B$11=25,VLOOKUP(Q4,AgeF,4,FALSE),IF(FacingSheet!$B$11=30,VLOOKUP(Q4,AgeF,5,FALSE),IF(FacingSheet!$B$11=50,VLOOKUP(Q4,AgeF,6,FALSE),IF(FacingSheet!$B$11=100,VLOOKUP(Q4,AgeF,7,FALSE),"")))))))</f>
        <v>1.9988425925925927E-2</v>
      </c>
      <c r="T4" s="108">
        <f t="shared" si="1"/>
        <v>1.9988425925925927E-2</v>
      </c>
      <c r="U4" s="29"/>
      <c r="V4" s="29"/>
      <c r="W4" s="29"/>
      <c r="X4" s="132"/>
      <c r="Y4" s="132"/>
      <c r="Z4" s="132"/>
    </row>
    <row r="5" spans="1:26">
      <c r="A5" s="36">
        <v>6</v>
      </c>
      <c r="B5" s="133" t="str">
        <f>"julie"</f>
        <v>julie</v>
      </c>
      <c r="C5" s="133" t="str">
        <f>"cleghorn"</f>
        <v>cleghorn</v>
      </c>
      <c r="D5" s="1" t="str">
        <f t="shared" si="0"/>
        <v>julie cleghorn</v>
      </c>
      <c r="E5" s="29" t="s">
        <v>54</v>
      </c>
      <c r="F5" s="29" t="s">
        <v>52</v>
      </c>
      <c r="G5" s="29" t="str">
        <f>""</f>
        <v/>
      </c>
      <c r="H5" s="193">
        <v>2.0717592592592593E-2</v>
      </c>
      <c r="I5" s="131" t="str">
        <f>"14/04/1966"</f>
        <v>14/04/1966</v>
      </c>
      <c r="J5" s="100">
        <f>IF(FacingSheet!$B$11=10,IF(ISERROR(((((H5*1440)-20)*60)-(((H5*1440)-20)^1.6)*2.5)/86400),"",((((H5*1440)-20)*60)-(((H5*1440)-20)^1.6)*2.5)/86400),"")</f>
        <v>5.7073374451790081E-3</v>
      </c>
      <c r="K5" s="100" t="str">
        <f>IF(FacingSheet!$B$11=15,IF(ISERROR(((((H5*1440)-33)*60)-(((H5*1440)-33)^1.6)*1.667)/86400),"",((((H5*1440)-33)*60)-(((H5*1440)-33)^1.6)*1.667)/86400),"")</f>
        <v/>
      </c>
      <c r="L5" s="100" t="str">
        <f>IF(FacingSheet!$B$11=25,IF(ISERROR(((((H5*1440)-50)*60)-(((H5*1440)-50)^1.6))/86400),"",((((H5*1440)-50)*60)-(((H5*1440)-50)^1.6))/86400),"")</f>
        <v/>
      </c>
      <c r="M5" s="100" t="str">
        <f>IF(FacingSheet!$B$11=30,IF(ISERROR(((((H5*1440)-60)*60)-((((H5*1440)-60)^1.6))/1.2)/86400),"",((((H5*1440)-60)*60)-((((H5*1440)-60)^1.6))/1.2)/86400),"")</f>
        <v/>
      </c>
      <c r="N5" s="100" t="str">
        <f>IF(FacingSheet!$B$11=50,IF(ISERROR(((((H5*1440)-105)*60)-((((H5*1440)-105)^1.6))/2)/86400),"",((((H5*1440)-105)*60)-((((H5*1440)-105)^1.6))/2)/86400),"")</f>
        <v/>
      </c>
      <c r="O5" s="100" t="str">
        <f>IF(FacingSheet!$B$11=100,IF(ISERROR(((((H5*1440)-230)*60)-((((H5*1440)-230)^1.6))/4)/86400),"",((((H5*1440)-230)*60)-((((H5*1440)-230)^1.6))/4)/86400),"")</f>
        <v/>
      </c>
      <c r="P5" s="108">
        <f>IF(FacingSheet!$B$11=10,J5,IF(FacingSheet!$B$11=15,K5,IF(FacingSheet!$B$11=25,L5,IF(FacingSheet!$B$11=30,M5,IF(FacingSheet!$B$11=50,N5,IF(FacingSheet!$B$11=100,O5,""))))))</f>
        <v>5.7073374451790081E-3</v>
      </c>
      <c r="Q5" s="65">
        <f>IF(OR(F5="V",F5="FV"),IF(I5="","",IF(MONTH(FacingSheet!$S$9)&gt;MONTH(I5),YEAR(FacingSheet!$S$9)-YEAR(I5),IF(AND(MONTH(FacingSheet!$S$9)=MONTH(I5),DAY(FacingSheet!$S$9)&gt;=DAY(I5)),YEAR(FacingSheet!$S$9)-YEAR(I5),(YEAR(FacingSheet!$S$9)-YEAR(I5))-1))),"")</f>
        <v>59</v>
      </c>
      <c r="R5" s="108">
        <f>IF(Q5="","",IF(FacingSheet!$B$11=10,VLOOKUP(Q5,Age,2,FALSE),IF(FacingSheet!$B$11=15,VLOOKUP(Q5,Age,3,FALSE),IF(FacingSheet!$B$11=25,VLOOKUP(Q5,Age,4,FALSE),IF(FacingSheet!$B$11=30,VLOOKUP(Q5,Age,5,FALSE),IF(FacingSheet!$B$11=50,VLOOKUP(Q5,Age,6,FALSE),IF(FacingSheet!$B$11=100,VLOOKUP(Q5,Age,7,FALSE),"")))))))</f>
        <v>1.9131944444444444E-2</v>
      </c>
      <c r="S5" s="108">
        <f>IF(Q5="","",IF(FacingSheet!$B$11=10,VLOOKUP(Q5,AgeF,2,FALSE),IF(FacingSheet!$B$11=15,VLOOKUP(Q5,AgeF,3,FALSE),IF(FacingSheet!$B$11=25,VLOOKUP(Q5,AgeF,4,FALSE),IF(FacingSheet!$B$11=30,VLOOKUP(Q5,AgeF,5,FALSE),IF(FacingSheet!$B$11=50,VLOOKUP(Q5,AgeF,6,FALSE),IF(FacingSheet!$B$11=100,VLOOKUP(Q5,AgeF,7,FALSE),"")))))))</f>
        <v>2.0775462962962964E-2</v>
      </c>
      <c r="T5" s="108">
        <f t="shared" si="1"/>
        <v>2.0775462962962964E-2</v>
      </c>
      <c r="U5" s="29"/>
      <c r="V5" s="29"/>
      <c r="W5" s="29"/>
      <c r="X5" s="132"/>
      <c r="Y5" s="132"/>
      <c r="Z5" s="132"/>
    </row>
    <row r="6" spans="1:26">
      <c r="A6" s="36">
        <v>43</v>
      </c>
      <c r="B6" s="133" t="str">
        <f>"Isla"</f>
        <v>Isla</v>
      </c>
      <c r="C6" s="133" t="str">
        <f>"Easto"</f>
        <v>Easto</v>
      </c>
      <c r="D6" s="1" t="str">
        <f t="shared" si="0"/>
        <v>Isla Easto</v>
      </c>
      <c r="E6" s="29" t="str">
        <f>"Solas Cycling"</f>
        <v>Solas Cycling</v>
      </c>
      <c r="F6" s="29" t="s">
        <v>53</v>
      </c>
      <c r="G6" s="255" t="str">
        <f>"1716241"</f>
        <v>1716241</v>
      </c>
      <c r="H6" s="193">
        <v>1.5659722222222221E-2</v>
      </c>
      <c r="I6" s="131" t="str">
        <f>"21/11/2006"</f>
        <v>21/11/2006</v>
      </c>
      <c r="J6" s="100">
        <f>IF(FacingSheet!$B$11=10,IF(ISERROR(((((H6*1440)-20)*60)-(((H6*1440)-20)^1.6)*2.5)/86400),"",((((H6*1440)-20)*60)-(((H6*1440)-20)^1.6)*2.5)/86400),"")</f>
        <v>1.6414463596794529E-3</v>
      </c>
      <c r="K6" s="100" t="str">
        <f>IF(FacingSheet!$B$11=15,IF(ISERROR(((((H6*1440)-33)*60)-(((H6*1440)-33)^1.6)*1.667)/86400),"",((((H6*1440)-33)*60)-(((H6*1440)-33)^1.6)*1.667)/86400),"")</f>
        <v/>
      </c>
      <c r="L6" s="100" t="str">
        <f>IF(FacingSheet!$B$11=25,IF(ISERROR(((((H6*1440)-50)*60)-(((H6*1440)-50)^1.6))/86400),"",((((H6*1440)-50)*60)-(((H6*1440)-50)^1.6))/86400),"")</f>
        <v/>
      </c>
      <c r="M6" s="100" t="str">
        <f>IF(FacingSheet!$B$11=30,IF(ISERROR(((((H6*1440)-60)*60)-((((H6*1440)-60)^1.6))/1.2)/86400),"",((((H6*1440)-60)*60)-((((H6*1440)-60)^1.6))/1.2)/86400),"")</f>
        <v/>
      </c>
      <c r="N6" s="100" t="str">
        <f>IF(FacingSheet!$B$11=50,IF(ISERROR(((((H6*1440)-105)*60)-((((H6*1440)-105)^1.6))/2)/86400),"",((((H6*1440)-105)*60)-((((H6*1440)-105)^1.6))/2)/86400),"")</f>
        <v/>
      </c>
      <c r="O6" s="100" t="str">
        <f>IF(FacingSheet!$B$11=100,IF(ISERROR(((((H6*1440)-230)*60)-((((H6*1440)-230)^1.6))/4)/86400),"",((((H6*1440)-230)*60)-((((H6*1440)-230)^1.6))/4)/86400),"")</f>
        <v/>
      </c>
      <c r="P6" s="108">
        <f>IF(FacingSheet!$B$11=10,J6,IF(FacingSheet!$B$11=15,K6,IF(FacingSheet!$B$11=25,L6,IF(FacingSheet!$B$11=30,M6,IF(FacingSheet!$B$11=50,N6,IF(FacingSheet!$B$11=100,O6,""))))))</f>
        <v>1.6414463596794529E-3</v>
      </c>
      <c r="Q6" s="65" t="str">
        <f>IF(OR(F6="V",F6="FV"),IF(I6="","",IF(MONTH(FacingSheet!$S$9)&gt;MONTH(I6),YEAR(FacingSheet!$S$9)-YEAR(I6),IF(AND(MONTH(FacingSheet!$S$9)=MONTH(I6),DAY(FacingSheet!$S$9)&gt;=DAY(I6)),YEAR(FacingSheet!$S$9)-YEAR(I6),(YEAR(FacingSheet!$S$9)-YEAR(I6))-1))),"")</f>
        <v/>
      </c>
      <c r="R6" s="108" t="str">
        <f>IF(Q6="","",IF(FacingSheet!$B$11=10,VLOOKUP(Q6,Age,2,FALSE),IF(FacingSheet!$B$11=15,VLOOKUP(Q6,Age,3,FALSE),IF(FacingSheet!$B$11=25,VLOOKUP(Q6,Age,4,FALSE),IF(FacingSheet!$B$11=30,VLOOKUP(Q6,Age,5,FALSE),IF(FacingSheet!$B$11=50,VLOOKUP(Q6,Age,6,FALSE),IF(FacingSheet!$B$11=100,VLOOKUP(Q6,Age,7,FALSE),"")))))))</f>
        <v/>
      </c>
      <c r="S6" s="108" t="str">
        <f>IF(Q6="","",IF(FacingSheet!$B$11=10,VLOOKUP(Q6,AgeF,2,FALSE),IF(FacingSheet!$B$11=15,VLOOKUP(Q6,AgeF,3,FALSE),IF(FacingSheet!$B$11=25,VLOOKUP(Q6,AgeF,4,FALSE),IF(FacingSheet!$B$11=30,VLOOKUP(Q6,AgeF,5,FALSE),IF(FacingSheet!$B$11=50,VLOOKUP(Q6,AgeF,6,FALSE),IF(FacingSheet!$B$11=100,VLOOKUP(Q6,AgeF,7,FALSE),"")))))))</f>
        <v/>
      </c>
      <c r="T6" s="108" t="str">
        <f t="shared" si="1"/>
        <v/>
      </c>
      <c r="U6" s="29"/>
      <c r="V6" s="29"/>
      <c r="W6" s="29"/>
      <c r="X6" s="132"/>
      <c r="Y6" s="132"/>
      <c r="Z6" s="132"/>
    </row>
    <row r="7" spans="1:26">
      <c r="A7" s="36">
        <v>12</v>
      </c>
      <c r="B7" s="133" t="str">
        <f>"Ruth"</f>
        <v>Ruth</v>
      </c>
      <c r="C7" s="133" t="str">
        <f>"Jeays"</f>
        <v>Jeays</v>
      </c>
      <c r="D7" s="1" t="str">
        <f t="shared" si="0"/>
        <v>Ruth Jeays</v>
      </c>
      <c r="E7" s="29" t="str">
        <f>"Revolution CT"</f>
        <v>Revolution CT</v>
      </c>
      <c r="F7" s="29" t="s">
        <v>52</v>
      </c>
      <c r="G7" s="29" t="str">
        <f>"1009647"</f>
        <v>1009647</v>
      </c>
      <c r="H7" s="193">
        <v>1.849537037037037E-2</v>
      </c>
      <c r="I7" s="131" t="str">
        <f>"28/01/1982"</f>
        <v>28/01/1982</v>
      </c>
      <c r="J7" s="100">
        <f>IF(FacingSheet!$B$11=10,IF(ISERROR(((((H7*1440)-20)*60)-(((H7*1440)-20)^1.6)*2.5)/86400),"",((((H7*1440)-20)*60)-(((H7*1440)-20)^1.6)*2.5)/86400),"")</f>
        <v>4.00917506393171E-3</v>
      </c>
      <c r="K7" s="100" t="str">
        <f>IF(FacingSheet!$B$11=15,IF(ISERROR(((((H7*1440)-33)*60)-(((H7*1440)-33)^1.6)*1.667)/86400),"",((((H7*1440)-33)*60)-(((H7*1440)-33)^1.6)*1.667)/86400),"")</f>
        <v/>
      </c>
      <c r="L7" s="100" t="str">
        <f>IF(FacingSheet!$B$11=25,IF(ISERROR(((((H7*1440)-50)*60)-(((H7*1440)-50)^1.6))/86400),"",((((H7*1440)-50)*60)-(((H7*1440)-50)^1.6))/86400),"")</f>
        <v/>
      </c>
      <c r="M7" s="100" t="str">
        <f>IF(FacingSheet!$B$11=30,IF(ISERROR(((((H7*1440)-60)*60)-((((H7*1440)-60)^1.6))/1.2)/86400),"",((((H7*1440)-60)*60)-((((H7*1440)-60)^1.6))/1.2)/86400),"")</f>
        <v/>
      </c>
      <c r="N7" s="100" t="str">
        <f>IF(FacingSheet!$B$11=50,IF(ISERROR(((((H7*1440)-105)*60)-((((H7*1440)-105)^1.6))/2)/86400),"",((((H7*1440)-105)*60)-((((H7*1440)-105)^1.6))/2)/86400),"")</f>
        <v/>
      </c>
      <c r="O7" s="100" t="str">
        <f>IF(FacingSheet!$B$11=100,IF(ISERROR(((((H7*1440)-230)*60)-((((H7*1440)-230)^1.6))/4)/86400),"",((((H7*1440)-230)*60)-((((H7*1440)-230)^1.6))/4)/86400),"")</f>
        <v/>
      </c>
      <c r="P7" s="108">
        <f>IF(FacingSheet!$B$11=10,J7,IF(FacingSheet!$B$11=15,K7,IF(FacingSheet!$B$11=25,L7,IF(FacingSheet!$B$11=30,M7,IF(FacingSheet!$B$11=50,N7,IF(FacingSheet!$B$11=100,O7,""))))))</f>
        <v>4.00917506393171E-3</v>
      </c>
      <c r="Q7" s="65">
        <f>IF(OR(F7="V",F7="FV"),IF(I7="","",IF(MONTH(FacingSheet!$S$9)&gt;MONTH(I7),YEAR(FacingSheet!$S$9)-YEAR(I7),IF(AND(MONTH(FacingSheet!$S$9)=MONTH(I7),DAY(FacingSheet!$S$9)&gt;=DAY(I7)),YEAR(FacingSheet!$S$9)-YEAR(I7),(YEAR(FacingSheet!$S$9)-YEAR(I7))-1))),"")</f>
        <v>43</v>
      </c>
      <c r="R7" s="108">
        <f>IF(Q7="","",IF(FacingSheet!$B$11=10,VLOOKUP(Q7,Age,2,FALSE),IF(FacingSheet!$B$11=15,VLOOKUP(Q7,Age,3,FALSE),IF(FacingSheet!$B$11=25,VLOOKUP(Q7,Age,4,FALSE),IF(FacingSheet!$B$11=30,VLOOKUP(Q7,Age,5,FALSE),IF(FacingSheet!$B$11=50,VLOOKUP(Q7,Age,6,FALSE),IF(FacingSheet!$B$11=100,VLOOKUP(Q7,Age,7,FALSE),"")))))))</f>
        <v>1.8252314814814815E-2</v>
      </c>
      <c r="S7" s="108">
        <f>IF(Q7="","",IF(FacingSheet!$B$11=10,VLOOKUP(Q7,AgeF,2,FALSE),IF(FacingSheet!$B$11=15,VLOOKUP(Q7,AgeF,3,FALSE),IF(FacingSheet!$B$11=25,VLOOKUP(Q7,AgeF,4,FALSE),IF(FacingSheet!$B$11=30,VLOOKUP(Q7,AgeF,5,FALSE),IF(FacingSheet!$B$11=50,VLOOKUP(Q7,AgeF,6,FALSE),IF(FacingSheet!$B$11=100,VLOOKUP(Q7,AgeF,7,FALSE),"")))))))</f>
        <v>1.9803240740740739E-2</v>
      </c>
      <c r="T7" s="108">
        <f t="shared" si="1"/>
        <v>1.9803240740740739E-2</v>
      </c>
      <c r="U7" s="29"/>
      <c r="V7" s="29"/>
      <c r="W7" s="29"/>
      <c r="X7" s="132"/>
      <c r="Y7" s="132"/>
      <c r="Z7" s="132"/>
    </row>
    <row r="8" spans="1:26">
      <c r="A8" s="36">
        <v>16</v>
      </c>
      <c r="B8" s="133" t="str">
        <f>"Rhoda"</f>
        <v>Rhoda</v>
      </c>
      <c r="C8" s="133" t="str">
        <f>"Kennedy"</f>
        <v>Kennedy</v>
      </c>
      <c r="D8" s="1" t="str">
        <f t="shared" si="0"/>
        <v>Rhoda Kennedy</v>
      </c>
      <c r="E8" s="29" t="str">
        <f>"Ross-Shire RCC"</f>
        <v>Ross-Shire RCC</v>
      </c>
      <c r="F8" s="29" t="s">
        <v>52</v>
      </c>
      <c r="G8" s="29" t="str">
        <f>"1382055"</f>
        <v>1382055</v>
      </c>
      <c r="H8" s="193">
        <v>1.9444444444444445E-2</v>
      </c>
      <c r="I8" s="131" t="str">
        <f>"13/08/1978"</f>
        <v>13/08/1978</v>
      </c>
      <c r="J8" s="100">
        <f>IF(FacingSheet!$B$11=10,IF(ISERROR(((((H8*1440)-20)*60)-(((H8*1440)-20)^1.6)*2.5)/86400),"",((((H8*1440)-20)*60)-(((H8*1440)-20)^1.6)*2.5)/86400),"")</f>
        <v>4.7494902191702552E-3</v>
      </c>
      <c r="K8" s="100" t="str">
        <f>IF(FacingSheet!$B$11=15,IF(ISERROR(((((H8*1440)-33)*60)-(((H8*1440)-33)^1.6)*1.667)/86400),"",((((H8*1440)-33)*60)-(((H8*1440)-33)^1.6)*1.667)/86400),"")</f>
        <v/>
      </c>
      <c r="L8" s="100" t="str">
        <f>IF(FacingSheet!$B$11=25,IF(ISERROR(((((H8*1440)-50)*60)-(((H8*1440)-50)^1.6))/86400),"",((((H8*1440)-50)*60)-(((H8*1440)-50)^1.6))/86400),"")</f>
        <v/>
      </c>
      <c r="M8" s="100" t="str">
        <f>IF(FacingSheet!$B$11=30,IF(ISERROR(((((H8*1440)-60)*60)-((((H8*1440)-60)^1.6))/1.2)/86400),"",((((H8*1440)-60)*60)-((((H8*1440)-60)^1.6))/1.2)/86400),"")</f>
        <v/>
      </c>
      <c r="N8" s="100" t="str">
        <f>IF(FacingSheet!$B$11=50,IF(ISERROR(((((H8*1440)-105)*60)-((((H8*1440)-105)^1.6))/2)/86400),"",((((H8*1440)-105)*60)-((((H8*1440)-105)^1.6))/2)/86400),"")</f>
        <v/>
      </c>
      <c r="O8" s="100" t="str">
        <f>IF(FacingSheet!$B$11=100,IF(ISERROR(((((H8*1440)-230)*60)-((((H8*1440)-230)^1.6))/4)/86400),"",((((H8*1440)-230)*60)-((((H8*1440)-230)^1.6))/4)/86400),"")</f>
        <v/>
      </c>
      <c r="P8" s="108">
        <f>IF(FacingSheet!$B$11=10,J8,IF(FacingSheet!$B$11=15,K8,IF(FacingSheet!$B$11=25,L8,IF(FacingSheet!$B$11=30,M8,IF(FacingSheet!$B$11=50,N8,IF(FacingSheet!$B$11=100,O8,""))))))</f>
        <v>4.7494902191702552E-3</v>
      </c>
      <c r="Q8" s="65">
        <f>IF(OR(F8="V",F8="FV"),IF(I8="","",IF(MONTH(FacingSheet!$S$9)&gt;MONTH(I8),YEAR(FacingSheet!$S$9)-YEAR(I8),IF(AND(MONTH(FacingSheet!$S$9)=MONTH(I8),DAY(FacingSheet!$S$9)&gt;=DAY(I8)),YEAR(FacingSheet!$S$9)-YEAR(I8),(YEAR(FacingSheet!$S$9)-YEAR(I8))-1))),"")</f>
        <v>47</v>
      </c>
      <c r="R8" s="108">
        <f>IF(Q8="","",IF(FacingSheet!$B$11=10,VLOOKUP(Q8,Age,2,FALSE),IF(FacingSheet!$B$11=15,VLOOKUP(Q8,Age,3,FALSE),IF(FacingSheet!$B$11=25,VLOOKUP(Q8,Age,4,FALSE),IF(FacingSheet!$B$11=30,VLOOKUP(Q8,Age,5,FALSE),IF(FacingSheet!$B$11=50,VLOOKUP(Q8,Age,6,FALSE),IF(FacingSheet!$B$11=100,VLOOKUP(Q8,Age,7,FALSE),"")))))))</f>
        <v>1.8472222222222223E-2</v>
      </c>
      <c r="S8" s="108">
        <f>IF(Q8="","",IF(FacingSheet!$B$11=10,VLOOKUP(Q8,AgeF,2,FALSE),IF(FacingSheet!$B$11=15,VLOOKUP(Q8,AgeF,3,FALSE),IF(FacingSheet!$B$11=25,VLOOKUP(Q8,AgeF,4,FALSE),IF(FacingSheet!$B$11=30,VLOOKUP(Q8,AgeF,5,FALSE),IF(FacingSheet!$B$11=50,VLOOKUP(Q8,AgeF,6,FALSE),IF(FacingSheet!$B$11=100,VLOOKUP(Q8,AgeF,7,FALSE),"")))))))</f>
        <v>2.0046296296296295E-2</v>
      </c>
      <c r="T8" s="108">
        <f t="shared" si="1"/>
        <v>2.0046296296296295E-2</v>
      </c>
      <c r="U8" s="29"/>
      <c r="V8" s="29"/>
      <c r="W8" s="29"/>
      <c r="X8" s="132"/>
      <c r="Y8" s="132"/>
      <c r="Z8" s="132"/>
    </row>
    <row r="9" spans="1:26">
      <c r="A9" s="36">
        <v>19</v>
      </c>
      <c r="B9" s="133" t="str">
        <f>"Zoe"</f>
        <v>Zoe</v>
      </c>
      <c r="C9" s="133" t="str">
        <f>"Newsam"</f>
        <v>Newsam</v>
      </c>
      <c r="D9" s="1" t="str">
        <f t="shared" si="0"/>
        <v>Zoe Newsam</v>
      </c>
      <c r="E9" s="29" t="str">
        <f>"Scottish Veterans T.T.A."</f>
        <v>Scottish Veterans T.T.A.</v>
      </c>
      <c r="F9" s="29" t="s">
        <v>52</v>
      </c>
      <c r="G9" s="29" t="str">
        <f>"920951"</f>
        <v>920951</v>
      </c>
      <c r="H9" s="193">
        <v>2.2418981481481481E-2</v>
      </c>
      <c r="I9" s="131" t="str">
        <f>"04/04/1975"</f>
        <v>04/04/1975</v>
      </c>
      <c r="J9" s="100">
        <f>IF(FacingSheet!$B$11=10,IF(ISERROR(((((H9*1440)-20)*60)-(((H9*1440)-20)^1.6)*2.5)/86400),"",((((H9*1440)-20)*60)-(((H9*1440)-20)^1.6)*2.5)/86400),"")</f>
        <v>6.9293103938308951E-3</v>
      </c>
      <c r="K9" s="100" t="str">
        <f>IF(FacingSheet!$B$11=15,IF(ISERROR(((((H9*1440)-33)*60)-(((H9*1440)-33)^1.6)*1.667)/86400),"",((((H9*1440)-33)*60)-(((H9*1440)-33)^1.6)*1.667)/86400),"")</f>
        <v/>
      </c>
      <c r="L9" s="100" t="str">
        <f>IF(FacingSheet!$B$11=25,IF(ISERROR(((((H9*1440)-50)*60)-(((H9*1440)-50)^1.6))/86400),"",((((H9*1440)-50)*60)-(((H9*1440)-50)^1.6))/86400),"")</f>
        <v/>
      </c>
      <c r="M9" s="100" t="str">
        <f>IF(FacingSheet!$B$11=30,IF(ISERROR(((((H9*1440)-60)*60)-((((H9*1440)-60)^1.6))/1.2)/86400),"",((((H9*1440)-60)*60)-((((H9*1440)-60)^1.6))/1.2)/86400),"")</f>
        <v/>
      </c>
      <c r="N9" s="100" t="str">
        <f>IF(FacingSheet!$B$11=50,IF(ISERROR(((((H9*1440)-105)*60)-((((H9*1440)-105)^1.6))/2)/86400),"",((((H9*1440)-105)*60)-((((H9*1440)-105)^1.6))/2)/86400),"")</f>
        <v/>
      </c>
      <c r="O9" s="100" t="str">
        <f>IF(FacingSheet!$B$11=100,IF(ISERROR(((((H9*1440)-230)*60)-((((H9*1440)-230)^1.6))/4)/86400),"",((((H9*1440)-230)*60)-((((H9*1440)-230)^1.6))/4)/86400),"")</f>
        <v/>
      </c>
      <c r="P9" s="108">
        <f>IF(FacingSheet!$B$11=10,J9,IF(FacingSheet!$B$11=15,K9,IF(FacingSheet!$B$11=25,L9,IF(FacingSheet!$B$11=30,M9,IF(FacingSheet!$B$11=50,N9,IF(FacingSheet!$B$11=100,O9,""))))))</f>
        <v>6.9293103938308951E-3</v>
      </c>
      <c r="Q9" s="65">
        <f>IF(OR(F9="V",F9="FV"),IF(I9="","",IF(MONTH(FacingSheet!$S$9)&gt;MONTH(I9),YEAR(FacingSheet!$S$9)-YEAR(I9),IF(AND(MONTH(FacingSheet!$S$9)=MONTH(I9),DAY(FacingSheet!$S$9)&gt;=DAY(I9)),YEAR(FacingSheet!$S$9)-YEAR(I9),(YEAR(FacingSheet!$S$9)-YEAR(I9))-1))),"")</f>
        <v>50</v>
      </c>
      <c r="R9" s="108">
        <f>IF(Q9="","",IF(FacingSheet!$B$11=10,VLOOKUP(Q9,Age,2,FALSE),IF(FacingSheet!$B$11=15,VLOOKUP(Q9,Age,3,FALSE),IF(FacingSheet!$B$11=25,VLOOKUP(Q9,Age,4,FALSE),IF(FacingSheet!$B$11=30,VLOOKUP(Q9,Age,5,FALSE),IF(FacingSheet!$B$11=50,VLOOKUP(Q9,Age,6,FALSE),IF(FacingSheet!$B$11=100,VLOOKUP(Q9,Age,7,FALSE),"")))))))</f>
        <v>1.8622685185185187E-2</v>
      </c>
      <c r="S9" s="108">
        <f>IF(Q9="","",IF(FacingSheet!$B$11=10,VLOOKUP(Q9,AgeF,2,FALSE),IF(FacingSheet!$B$11=15,VLOOKUP(Q9,AgeF,3,FALSE),IF(FacingSheet!$B$11=25,VLOOKUP(Q9,AgeF,4,FALSE),IF(FacingSheet!$B$11=30,VLOOKUP(Q9,AgeF,5,FALSE),IF(FacingSheet!$B$11=50,VLOOKUP(Q9,AgeF,6,FALSE),IF(FacingSheet!$B$11=100,VLOOKUP(Q9,AgeF,7,FALSE),"")))))))</f>
        <v>2.0208333333333332E-2</v>
      </c>
      <c r="T9" s="108">
        <f t="shared" si="1"/>
        <v>2.0208333333333332E-2</v>
      </c>
      <c r="U9" s="29"/>
      <c r="V9" s="29"/>
      <c r="W9" s="29"/>
      <c r="X9" s="132"/>
      <c r="Y9" s="132"/>
      <c r="Z9" s="132"/>
    </row>
    <row r="10" spans="1:26">
      <c r="A10" s="36">
        <v>21</v>
      </c>
      <c r="B10" s="133" t="str">
        <f>"Amy"</f>
        <v>Amy</v>
      </c>
      <c r="C10" s="133" t="str">
        <f>"Renwick"</f>
        <v>Renwick</v>
      </c>
      <c r="D10" s="1" t="str">
        <f t="shared" si="0"/>
        <v>Amy Renwick</v>
      </c>
      <c r="E10" s="29" t="str">
        <f>"Moray Firth Cycling Club"</f>
        <v>Moray Firth Cycling Club</v>
      </c>
      <c r="F10" s="29" t="s">
        <v>53</v>
      </c>
      <c r="G10" s="29" t="str">
        <f>"1553215"</f>
        <v>1553215</v>
      </c>
      <c r="H10" s="193">
        <v>1.8599537037037036E-2</v>
      </c>
      <c r="I10" s="131" t="str">
        <f>"10/09/1987"</f>
        <v>10/09/1987</v>
      </c>
      <c r="J10" s="100">
        <f>IF(FacingSheet!$B$11=10,IF(ISERROR(((((H10*1440)-20)*60)-(((H10*1440)-20)^1.6)*2.5)/86400),"",((((H10*1440)-20)*60)-(((H10*1440)-20)^1.6)*2.5)/86400),"")</f>
        <v>4.0915844748340389E-3</v>
      </c>
      <c r="K10" s="100" t="str">
        <f>IF(FacingSheet!$B$11=15,IF(ISERROR(((((H10*1440)-33)*60)-(((H10*1440)-33)^1.6)*1.667)/86400),"",((((H10*1440)-33)*60)-(((H10*1440)-33)^1.6)*1.667)/86400),"")</f>
        <v/>
      </c>
      <c r="L10" s="100" t="str">
        <f>IF(FacingSheet!$B$11=25,IF(ISERROR(((((H10*1440)-50)*60)-(((H10*1440)-50)^1.6))/86400),"",((((H10*1440)-50)*60)-(((H10*1440)-50)^1.6))/86400),"")</f>
        <v/>
      </c>
      <c r="M10" s="100" t="str">
        <f>IF(FacingSheet!$B$11=30,IF(ISERROR(((((H10*1440)-60)*60)-((((H10*1440)-60)^1.6))/1.2)/86400),"",((((H10*1440)-60)*60)-((((H10*1440)-60)^1.6))/1.2)/86400),"")</f>
        <v/>
      </c>
      <c r="N10" s="100" t="str">
        <f>IF(FacingSheet!$B$11=50,IF(ISERROR(((((H10*1440)-105)*60)-((((H10*1440)-105)^1.6))/2)/86400),"",((((H10*1440)-105)*60)-((((H10*1440)-105)^1.6))/2)/86400),"")</f>
        <v/>
      </c>
      <c r="O10" s="100" t="str">
        <f>IF(FacingSheet!$B$11=100,IF(ISERROR(((((H10*1440)-230)*60)-((((H10*1440)-230)^1.6))/4)/86400),"",((((H10*1440)-230)*60)-((((H10*1440)-230)^1.6))/4)/86400),"")</f>
        <v/>
      </c>
      <c r="P10" s="108">
        <f>IF(FacingSheet!$B$11=10,J10,IF(FacingSheet!$B$11=15,K10,IF(FacingSheet!$B$11=25,L10,IF(FacingSheet!$B$11=30,M10,IF(FacingSheet!$B$11=50,N10,IF(FacingSheet!$B$11=100,O10,""))))))</f>
        <v>4.0915844748340389E-3</v>
      </c>
      <c r="Q10" s="65" t="str">
        <f>IF(OR(F10="V",F10="FV"),IF(I10="","",IF(MONTH(FacingSheet!$S$9)&gt;MONTH(I10),YEAR(FacingSheet!$S$9)-YEAR(I10),IF(AND(MONTH(FacingSheet!$S$9)=MONTH(I10),DAY(FacingSheet!$S$9)&gt;=DAY(I10)),YEAR(FacingSheet!$S$9)-YEAR(I10),(YEAR(FacingSheet!$S$9)-YEAR(I10))-1))),"")</f>
        <v/>
      </c>
      <c r="R10" s="108" t="str">
        <f>IF(Q10="","",IF(FacingSheet!$B$11=10,VLOOKUP(Q10,Age,2,FALSE),IF(FacingSheet!$B$11=15,VLOOKUP(Q10,Age,3,FALSE),IF(FacingSheet!$B$11=25,VLOOKUP(Q10,Age,4,FALSE),IF(FacingSheet!$B$11=30,VLOOKUP(Q10,Age,5,FALSE),IF(FacingSheet!$B$11=50,VLOOKUP(Q10,Age,6,FALSE),IF(FacingSheet!$B$11=100,VLOOKUP(Q10,Age,7,FALSE),"")))))))</f>
        <v/>
      </c>
      <c r="S10" s="108" t="str">
        <f>IF(Q10="","",IF(FacingSheet!$B$11=10,VLOOKUP(Q10,AgeF,2,FALSE),IF(FacingSheet!$B$11=15,VLOOKUP(Q10,AgeF,3,FALSE),IF(FacingSheet!$B$11=25,VLOOKUP(Q10,AgeF,4,FALSE),IF(FacingSheet!$B$11=30,VLOOKUP(Q10,AgeF,5,FALSE),IF(FacingSheet!$B$11=50,VLOOKUP(Q10,AgeF,6,FALSE),IF(FacingSheet!$B$11=100,VLOOKUP(Q10,AgeF,7,FALSE),"")))))))</f>
        <v/>
      </c>
      <c r="T10" s="108" t="str">
        <f t="shared" si="1"/>
        <v/>
      </c>
      <c r="U10" s="29"/>
      <c r="V10" s="29"/>
      <c r="W10" s="29"/>
      <c r="X10" s="132"/>
      <c r="Y10" s="132"/>
      <c r="Z10" s="132"/>
    </row>
    <row r="11" spans="1:26">
      <c r="A11" s="36">
        <v>38</v>
      </c>
      <c r="B11" s="133" t="str">
        <f>"Alison"</f>
        <v>Alison</v>
      </c>
      <c r="C11" s="133" t="str">
        <f>"Roger"</f>
        <v>Roger</v>
      </c>
      <c r="D11" s="1" t="str">
        <f t="shared" si="0"/>
        <v>Alison Roger</v>
      </c>
      <c r="E11" s="29" t="str">
        <f>"North Argyll Cycle Club"</f>
        <v>North Argyll Cycle Club</v>
      </c>
      <c r="F11" s="29" t="s">
        <v>52</v>
      </c>
      <c r="G11" s="29" t="str">
        <f>"1690150"</f>
        <v>1690150</v>
      </c>
      <c r="H11" s="193">
        <v>1.6284722222222221E-2</v>
      </c>
      <c r="I11" s="131" t="str">
        <f>"17/05/1973"</f>
        <v>17/05/1973</v>
      </c>
      <c r="J11" s="100">
        <f>IF(FacingSheet!$B$11=10,IF(ISERROR(((((H11*1440)-20)*60)-(((H11*1440)-20)^1.6)*2.5)/86400),"",((((H11*1440)-20)*60)-(((H11*1440)-20)^1.6)*2.5)/86400),"")</f>
        <v>2.1859698783827045E-3</v>
      </c>
      <c r="K11" s="100" t="str">
        <f>IF(FacingSheet!$B$11=15,IF(ISERROR(((((H11*1440)-33)*60)-(((H11*1440)-33)^1.6)*1.667)/86400),"",((((H11*1440)-33)*60)-(((H11*1440)-33)^1.6)*1.667)/86400),"")</f>
        <v/>
      </c>
      <c r="L11" s="100" t="str">
        <f>IF(FacingSheet!$B$11=25,IF(ISERROR(((((H11*1440)-50)*60)-(((H11*1440)-50)^1.6))/86400),"",((((H11*1440)-50)*60)-(((H11*1440)-50)^1.6))/86400),"")</f>
        <v/>
      </c>
      <c r="M11" s="100" t="str">
        <f>IF(FacingSheet!$B$11=30,IF(ISERROR(((((H11*1440)-60)*60)-((((H11*1440)-60)^1.6))/1.2)/86400),"",((((H11*1440)-60)*60)-((((H11*1440)-60)^1.6))/1.2)/86400),"")</f>
        <v/>
      </c>
      <c r="N11" s="100" t="str">
        <f>IF(FacingSheet!$B$11=50,IF(ISERROR(((((H11*1440)-105)*60)-((((H11*1440)-105)^1.6))/2)/86400),"",((((H11*1440)-105)*60)-((((H11*1440)-105)^1.6))/2)/86400),"")</f>
        <v/>
      </c>
      <c r="O11" s="100" t="str">
        <f>IF(FacingSheet!$B$11=100,IF(ISERROR(((((H11*1440)-230)*60)-((((H11*1440)-230)^1.6))/4)/86400),"",((((H11*1440)-230)*60)-((((H11*1440)-230)^1.6))/4)/86400),"")</f>
        <v/>
      </c>
      <c r="P11" s="108">
        <f>IF(FacingSheet!$B$11=10,J11,IF(FacingSheet!$B$11=15,K11,IF(FacingSheet!$B$11=25,L11,IF(FacingSheet!$B$11=30,M11,IF(FacingSheet!$B$11=50,N11,IF(FacingSheet!$B$11=100,O11,""))))))</f>
        <v>2.1859698783827045E-3</v>
      </c>
      <c r="Q11" s="65">
        <f>IF(OR(F11="V",F11="FV"),IF(I11="","",IF(MONTH(FacingSheet!$S$9)&gt;MONTH(I11),YEAR(FacingSheet!$S$9)-YEAR(I11),IF(AND(MONTH(FacingSheet!$S$9)=MONTH(I11),DAY(FacingSheet!$S$9)&gt;=DAY(I11)),YEAR(FacingSheet!$S$9)-YEAR(I11),(YEAR(FacingSheet!$S$9)-YEAR(I11))-1))),"")</f>
        <v>52</v>
      </c>
      <c r="R11" s="108">
        <f>IF(Q11="","",IF(FacingSheet!$B$11=10,VLOOKUP(Q11,Age,2,FALSE),IF(FacingSheet!$B$11=15,VLOOKUP(Q11,Age,3,FALSE),IF(FacingSheet!$B$11=25,VLOOKUP(Q11,Age,4,FALSE),IF(FacingSheet!$B$11=30,VLOOKUP(Q11,Age,5,FALSE),IF(FacingSheet!$B$11=50,VLOOKUP(Q11,Age,6,FALSE),IF(FacingSheet!$B$11=100,VLOOKUP(Q11,Age,7,FALSE),"")))))))</f>
        <v>1.8726851851851852E-2</v>
      </c>
      <c r="S11" s="108">
        <f>IF(Q11="","",IF(FacingSheet!$B$11=10,VLOOKUP(Q11,AgeF,2,FALSE),IF(FacingSheet!$B$11=15,VLOOKUP(Q11,AgeF,3,FALSE),IF(FacingSheet!$B$11=25,VLOOKUP(Q11,AgeF,4,FALSE),IF(FacingSheet!$B$11=30,VLOOKUP(Q11,AgeF,5,FALSE),IF(FacingSheet!$B$11=50,VLOOKUP(Q11,AgeF,6,FALSE),IF(FacingSheet!$B$11=100,VLOOKUP(Q11,AgeF,7,FALSE),"")))))))</f>
        <v>2.0324074074074074E-2</v>
      </c>
      <c r="T11" s="108">
        <f t="shared" si="1"/>
        <v>2.0324074074074074E-2</v>
      </c>
      <c r="U11" s="29"/>
      <c r="V11" s="29"/>
      <c r="W11" s="29"/>
      <c r="X11" s="132"/>
      <c r="Y11" s="132"/>
      <c r="Z11" s="132"/>
    </row>
    <row r="12" spans="1:26">
      <c r="A12" s="36">
        <v>23</v>
      </c>
      <c r="B12" s="133" t="str">
        <f>"Millie"</f>
        <v>Millie</v>
      </c>
      <c r="C12" s="133" t="str">
        <f>"Thomson"</f>
        <v>Thomson</v>
      </c>
      <c r="D12" s="1" t="str">
        <f t="shared" si="0"/>
        <v>Millie Thomson</v>
      </c>
      <c r="E12" s="29" t="str">
        <f>"Solas Cycling"</f>
        <v>Solas Cycling</v>
      </c>
      <c r="F12" s="29" t="s">
        <v>53</v>
      </c>
      <c r="G12" s="29" t="str">
        <f>"1151288"</f>
        <v>1151288</v>
      </c>
      <c r="H12" s="99">
        <v>1.6168981481481482E-2</v>
      </c>
      <c r="I12" s="131" t="str">
        <f>"18/07/2006"</f>
        <v>18/07/2006</v>
      </c>
      <c r="J12" s="100">
        <f>IF(FacingSheet!$B$11=10,IF(ISERROR(((((H12*1440)-20)*60)-(((H12*1440)-20)^1.6)*2.5)/86400),"",((((H12*1440)-20)*60)-(((H12*1440)-20)^1.6)*2.5)/86400),"")</f>
        <v>2.0862138352635323E-3</v>
      </c>
      <c r="K12" s="100" t="str">
        <f>IF(FacingSheet!$B$11=15,IF(ISERROR(((((H12*1440)-33)*60)-(((H12*1440)-33)^1.6)*1.667)/86400),"",((((H12*1440)-33)*60)-(((H12*1440)-33)^1.6)*1.667)/86400),"")</f>
        <v/>
      </c>
      <c r="L12" s="100" t="str">
        <f>IF(FacingSheet!$B$11=25,IF(ISERROR(((((H12*1440)-50)*60)-(((H12*1440)-50)^1.6))/86400),"",((((H12*1440)-50)*60)-(((H12*1440)-50)^1.6))/86400),"")</f>
        <v/>
      </c>
      <c r="M12" s="100" t="str">
        <f>IF(FacingSheet!$B$11=30,IF(ISERROR(((((H12*1440)-60)*60)-((((H12*1440)-60)^1.6))/1.2)/86400),"",((((H12*1440)-60)*60)-((((H12*1440)-60)^1.6))/1.2)/86400),"")</f>
        <v/>
      </c>
      <c r="N12" s="100" t="str">
        <f>IF(FacingSheet!$B$11=50,IF(ISERROR(((((H12*1440)-105)*60)-((((H12*1440)-105)^1.6))/2)/86400),"",((((H12*1440)-105)*60)-((((H12*1440)-105)^1.6))/2)/86400),"")</f>
        <v/>
      </c>
      <c r="O12" s="100" t="str">
        <f>IF(FacingSheet!$B$11=100,IF(ISERROR(((((H12*1440)-230)*60)-((((H12*1440)-230)^1.6))/4)/86400),"",((((H12*1440)-230)*60)-((((H12*1440)-230)^1.6))/4)/86400),"")</f>
        <v/>
      </c>
      <c r="P12" s="108">
        <f>IF(FacingSheet!$B$11=10,J12,IF(FacingSheet!$B$11=15,K12,IF(FacingSheet!$B$11=25,L12,IF(FacingSheet!$B$11=30,M12,IF(FacingSheet!$B$11=50,N12,IF(FacingSheet!$B$11=100,O12,""))))))</f>
        <v>2.0862138352635323E-3</v>
      </c>
      <c r="Q12" s="65" t="str">
        <f>IF(OR(F12="V",F12="FV"),IF(I12="","",IF(MONTH(FacingSheet!$S$9)&gt;MONTH(I12),YEAR(FacingSheet!$S$9)-YEAR(I12),IF(AND(MONTH(FacingSheet!$S$9)=MONTH(I12),DAY(FacingSheet!$S$9)&gt;=DAY(I12)),YEAR(FacingSheet!$S$9)-YEAR(I12),(YEAR(FacingSheet!$S$9)-YEAR(I12))-1))),"")</f>
        <v/>
      </c>
      <c r="R12" s="108" t="str">
        <f>IF(Q12="","",IF(FacingSheet!$B$11=10,VLOOKUP(Q12,Age,2,FALSE),IF(FacingSheet!$B$11=15,VLOOKUP(Q12,Age,3,FALSE),IF(FacingSheet!$B$11=25,VLOOKUP(Q12,Age,4,FALSE),IF(FacingSheet!$B$11=30,VLOOKUP(Q12,Age,5,FALSE),IF(FacingSheet!$B$11=50,VLOOKUP(Q12,Age,6,FALSE),IF(FacingSheet!$B$11=100,VLOOKUP(Q12,Age,7,FALSE),"")))))))</f>
        <v/>
      </c>
      <c r="S12" s="108" t="str">
        <f>IF(Q12="","",IF(FacingSheet!$B$11=10,VLOOKUP(Q12,AgeF,2,FALSE),IF(FacingSheet!$B$11=15,VLOOKUP(Q12,AgeF,3,FALSE),IF(FacingSheet!$B$11=25,VLOOKUP(Q12,AgeF,4,FALSE),IF(FacingSheet!$B$11=30,VLOOKUP(Q12,AgeF,5,FALSE),IF(FacingSheet!$B$11=50,VLOOKUP(Q12,AgeF,6,FALSE),IF(FacingSheet!$B$11=100,VLOOKUP(Q12,AgeF,7,FALSE),"")))))))</f>
        <v/>
      </c>
      <c r="T12" s="108" t="str">
        <f t="shared" si="1"/>
        <v/>
      </c>
      <c r="U12" s="29"/>
      <c r="V12" s="29"/>
      <c r="W12" s="29"/>
      <c r="X12" s="132"/>
      <c r="Y12" s="132"/>
      <c r="Z12" s="132"/>
    </row>
    <row r="13" spans="1:26">
      <c r="A13" s="36">
        <v>22</v>
      </c>
      <c r="B13" s="133" t="str">
        <f>"Eva"</f>
        <v>Eva</v>
      </c>
      <c r="C13" s="133" t="str">
        <f>"Murphy"</f>
        <v>Murphy</v>
      </c>
      <c r="D13" s="1" t="str">
        <f t="shared" si="0"/>
        <v>Eva Murphy</v>
      </c>
      <c r="E13" s="29" t="str">
        <f>"Deeside Thistle CC"</f>
        <v>Deeside Thistle CC</v>
      </c>
      <c r="F13" s="29" t="s">
        <v>55</v>
      </c>
      <c r="G13" s="29" t="str">
        <f>"1346462"</f>
        <v>1346462</v>
      </c>
      <c r="H13" s="193">
        <v>1.8124999999999999E-2</v>
      </c>
      <c r="I13" s="131" t="str">
        <f>"21/12/2008"</f>
        <v>21/12/2008</v>
      </c>
      <c r="J13" s="100">
        <f>IF(FacingSheet!$B$11=10,IF(ISERROR(((((H13*1440)-20)*60)-(((H13*1440)-20)^1.6)*2.5)/86400),"",((((H13*1440)-20)*60)-(((H13*1440)-20)^1.6)*2.5)/86400),"")</f>
        <v>3.7137702481604322E-3</v>
      </c>
      <c r="K13" s="100" t="str">
        <f>IF(FacingSheet!$B$11=15,IF(ISERROR(((((H13*1440)-33)*60)-(((H13*1440)-33)^1.6)*1.667)/86400),"",((((H13*1440)-33)*60)-(((H13*1440)-33)^1.6)*1.667)/86400),"")</f>
        <v/>
      </c>
      <c r="L13" s="100" t="str">
        <f>IF(FacingSheet!$B$11=25,IF(ISERROR(((((H13*1440)-50)*60)-(((H13*1440)-50)^1.6))/86400),"",((((H13*1440)-50)*60)-(((H13*1440)-50)^1.6))/86400),"")</f>
        <v/>
      </c>
      <c r="M13" s="100" t="str">
        <f>IF(FacingSheet!$B$11=30,IF(ISERROR(((((H13*1440)-60)*60)-((((H13*1440)-60)^1.6))/1.2)/86400),"",((((H13*1440)-60)*60)-((((H13*1440)-60)^1.6))/1.2)/86400),"")</f>
        <v/>
      </c>
      <c r="N13" s="100" t="str">
        <f>IF(FacingSheet!$B$11=50,IF(ISERROR(((((H13*1440)-105)*60)-((((H13*1440)-105)^1.6))/2)/86400),"",((((H13*1440)-105)*60)-((((H13*1440)-105)^1.6))/2)/86400),"")</f>
        <v/>
      </c>
      <c r="O13" s="100" t="str">
        <f>IF(FacingSheet!$B$11=100,IF(ISERROR(((((H13*1440)-230)*60)-((((H13*1440)-230)^1.6))/4)/86400),"",((((H13*1440)-230)*60)-((((H13*1440)-230)^1.6))/4)/86400),"")</f>
        <v/>
      </c>
      <c r="P13" s="108">
        <f>IF(FacingSheet!$B$11=10,J13,IF(FacingSheet!$B$11=15,K13,IF(FacingSheet!$B$11=25,L13,IF(FacingSheet!$B$11=30,M13,IF(FacingSheet!$B$11=50,N13,IF(FacingSheet!$B$11=100,O13,""))))))</f>
        <v>3.7137702481604322E-3</v>
      </c>
      <c r="Q13" s="65" t="str">
        <f>IF(OR(F13="V",F13="FV"),IF(I13="","",IF(MONTH(FacingSheet!$S$9)&gt;MONTH(I13),YEAR(FacingSheet!$S$9)-YEAR(I13),IF(AND(MONTH(FacingSheet!$S$9)=MONTH(I13),DAY(FacingSheet!$S$9)&gt;=DAY(I13)),YEAR(FacingSheet!$S$9)-YEAR(I13),(YEAR(FacingSheet!$S$9)-YEAR(I13))-1))),"")</f>
        <v/>
      </c>
      <c r="R13" s="108" t="str">
        <f>IF(Q13="","",IF(FacingSheet!$B$11=10,VLOOKUP(Q13,Age,2,FALSE),IF(FacingSheet!$B$11=15,VLOOKUP(Q13,Age,3,FALSE),IF(FacingSheet!$B$11=25,VLOOKUP(Q13,Age,4,FALSE),IF(FacingSheet!$B$11=30,VLOOKUP(Q13,Age,5,FALSE),IF(FacingSheet!$B$11=50,VLOOKUP(Q13,Age,6,FALSE),IF(FacingSheet!$B$11=100,VLOOKUP(Q13,Age,7,FALSE),"")))))))</f>
        <v/>
      </c>
      <c r="S13" s="108" t="str">
        <f>IF(Q13="","",IF(FacingSheet!$B$11=10,VLOOKUP(Q13,AgeF,2,FALSE),IF(FacingSheet!$B$11=15,VLOOKUP(Q13,AgeF,3,FALSE),IF(FacingSheet!$B$11=25,VLOOKUP(Q13,AgeF,4,FALSE),IF(FacingSheet!$B$11=30,VLOOKUP(Q13,AgeF,5,FALSE),IF(FacingSheet!$B$11=50,VLOOKUP(Q13,AgeF,6,FALSE),IF(FacingSheet!$B$11=100,VLOOKUP(Q13,AgeF,7,FALSE),"")))))))</f>
        <v/>
      </c>
      <c r="T13" s="108" t="str">
        <f t="shared" si="1"/>
        <v/>
      </c>
      <c r="U13" s="29"/>
      <c r="V13" s="29"/>
      <c r="W13" s="29"/>
      <c r="X13" s="132"/>
      <c r="Y13" s="132"/>
      <c r="Z13" s="132"/>
    </row>
    <row r="14" spans="1:26">
      <c r="A14" s="36">
        <v>45</v>
      </c>
      <c r="B14" s="133" t="str">
        <f>"Colin"</f>
        <v>Colin</v>
      </c>
      <c r="C14" s="133" t="str">
        <f>"Johnston"</f>
        <v>Johnston</v>
      </c>
      <c r="D14" s="1" t="str">
        <f t="shared" si="0"/>
        <v>Colin Johnston</v>
      </c>
      <c r="E14" s="29" t="str">
        <f>"Vanelli-Project Go"</f>
        <v>Vanelli-Project Go</v>
      </c>
      <c r="F14" s="29" t="s">
        <v>56</v>
      </c>
      <c r="G14" s="29" t="str">
        <f>"1085571"</f>
        <v>1085571</v>
      </c>
      <c r="H14" s="193">
        <v>1.4143518518518519E-2</v>
      </c>
      <c r="I14" s="131" t="str">
        <f>"01/03/2008"</f>
        <v>01/03/2008</v>
      </c>
      <c r="J14" s="100">
        <f>IF(FacingSheet!$B$11=10,IF(ISERROR(((((H14*1440)-20)*60)-(((H14*1440)-20)^1.6)*2.5)/86400),"",((((H14*1440)-20)*60)-(((H14*1440)-20)^1.6)*2.5)/86400),"")</f>
        <v>2.4881850011394786E-4</v>
      </c>
      <c r="K14" s="100" t="str">
        <f>IF(FacingSheet!$B$11=15,IF(ISERROR(((((H14*1440)-33)*60)-(((H14*1440)-33)^1.6)*1.667)/86400),"",((((H14*1440)-33)*60)-(((H14*1440)-33)^1.6)*1.667)/86400),"")</f>
        <v/>
      </c>
      <c r="L14" s="100" t="str">
        <f>IF(FacingSheet!$B$11=25,IF(ISERROR(((((H14*1440)-50)*60)-(((H14*1440)-50)^1.6))/86400),"",((((H14*1440)-50)*60)-(((H14*1440)-50)^1.6))/86400),"")</f>
        <v/>
      </c>
      <c r="M14" s="100" t="str">
        <f>IF(FacingSheet!$B$11=30,IF(ISERROR(((((H14*1440)-60)*60)-((((H14*1440)-60)^1.6))/1.2)/86400),"",((((H14*1440)-60)*60)-((((H14*1440)-60)^1.6))/1.2)/86400),"")</f>
        <v/>
      </c>
      <c r="N14" s="100" t="str">
        <f>IF(FacingSheet!$B$11=50,IF(ISERROR(((((H14*1440)-105)*60)-((((H14*1440)-105)^1.6))/2)/86400),"",((((H14*1440)-105)*60)-((((H14*1440)-105)^1.6))/2)/86400),"")</f>
        <v/>
      </c>
      <c r="O14" s="100" t="str">
        <f>IF(FacingSheet!$B$11=100,IF(ISERROR(((((H14*1440)-230)*60)-((((H14*1440)-230)^1.6))/4)/86400),"",((((H14*1440)-230)*60)-((((H14*1440)-230)^1.6))/4)/86400),"")</f>
        <v/>
      </c>
      <c r="P14" s="108">
        <f>IF(FacingSheet!$B$11=10,J14,IF(FacingSheet!$B$11=15,K14,IF(FacingSheet!$B$11=25,L14,IF(FacingSheet!$B$11=30,M14,IF(FacingSheet!$B$11=50,N14,IF(FacingSheet!$B$11=100,O14,""))))))</f>
        <v>2.4881850011394786E-4</v>
      </c>
      <c r="Q14" s="65" t="str">
        <f>IF(OR(F14="V",F14="FV"),IF(I14="","",IF(MONTH(FacingSheet!$S$9)&gt;MONTH(I14),YEAR(FacingSheet!$S$9)-YEAR(I14),IF(AND(MONTH(FacingSheet!$S$9)=MONTH(I14),DAY(FacingSheet!$S$9)&gt;=DAY(I14)),YEAR(FacingSheet!$S$9)-YEAR(I14),(YEAR(FacingSheet!$S$9)-YEAR(I14))-1))),"")</f>
        <v/>
      </c>
      <c r="R14" s="108" t="str">
        <f>IF(Q14="","",IF(FacingSheet!$B$11=10,VLOOKUP(Q14,Age,2,FALSE),IF(FacingSheet!$B$11=15,VLOOKUP(Q14,Age,3,FALSE),IF(FacingSheet!$B$11=25,VLOOKUP(Q14,Age,4,FALSE),IF(FacingSheet!$B$11=30,VLOOKUP(Q14,Age,5,FALSE),IF(FacingSheet!$B$11=50,VLOOKUP(Q14,Age,6,FALSE),IF(FacingSheet!$B$11=100,VLOOKUP(Q14,Age,7,FALSE),"")))))))</f>
        <v/>
      </c>
      <c r="S14" s="108" t="str">
        <f>IF(Q14="","",IF(FacingSheet!$B$11=10,VLOOKUP(Q14,AgeF,2,FALSE),IF(FacingSheet!$B$11=15,VLOOKUP(Q14,AgeF,3,FALSE),IF(FacingSheet!$B$11=25,VLOOKUP(Q14,AgeF,4,FALSE),IF(FacingSheet!$B$11=30,VLOOKUP(Q14,AgeF,5,FALSE),IF(FacingSheet!$B$11=50,VLOOKUP(Q14,AgeF,6,FALSE),IF(FacingSheet!$B$11=100,VLOOKUP(Q14,AgeF,7,FALSE),"")))))))</f>
        <v/>
      </c>
      <c r="T14" s="108" t="str">
        <f t="shared" si="1"/>
        <v/>
      </c>
      <c r="U14" s="29"/>
      <c r="V14" s="29"/>
      <c r="W14" s="29"/>
      <c r="X14" s="132"/>
      <c r="Y14" s="132"/>
      <c r="Z14" s="132"/>
    </row>
    <row r="15" spans="1:26">
      <c r="A15" s="36">
        <v>26</v>
      </c>
      <c r="B15" s="133" t="str">
        <f>"Innis"</f>
        <v>Innis</v>
      </c>
      <c r="C15" s="133" t="str">
        <f>"Mitchell"</f>
        <v>Mitchell</v>
      </c>
      <c r="D15" s="1" t="str">
        <f t="shared" si="0"/>
        <v>Innis Mitchell</v>
      </c>
      <c r="E15" s="29" t="str">
        <f>"Ross-Shire RCC"</f>
        <v>Ross-Shire RCC</v>
      </c>
      <c r="F15" s="29" t="s">
        <v>57</v>
      </c>
      <c r="G15" s="29" t="str">
        <f>"838764"</f>
        <v>838764</v>
      </c>
      <c r="H15" s="99">
        <v>1.7766203703703704E-2</v>
      </c>
      <c r="I15" s="131" t="str">
        <f>"02/02/1948"</f>
        <v>02/02/1948</v>
      </c>
      <c r="J15" s="100">
        <f>IF(FacingSheet!$B$11=10,IF(ISERROR(((((H15*1440)-20)*60)-(((H15*1440)-20)^1.6)*2.5)/86400),"",((((H15*1440)-20)*60)-(((H15*1440)-20)^1.6)*2.5)/86400),"")</f>
        <v>3.4239414973733845E-3</v>
      </c>
      <c r="K15" s="100" t="str">
        <f>IF(FacingSheet!$B$11=15,IF(ISERROR(((((H15*1440)-33)*60)-(((H15*1440)-33)^1.6)*1.667)/86400),"",((((H15*1440)-33)*60)-(((H15*1440)-33)^1.6)*1.667)/86400),"")</f>
        <v/>
      </c>
      <c r="L15" s="100" t="str">
        <f>IF(FacingSheet!$B$11=25,IF(ISERROR(((((H15*1440)-50)*60)-(((H15*1440)-50)^1.6))/86400),"",((((H15*1440)-50)*60)-(((H15*1440)-50)^1.6))/86400),"")</f>
        <v/>
      </c>
      <c r="M15" s="100" t="str">
        <f>IF(FacingSheet!$B$11=30,IF(ISERROR(((((H15*1440)-60)*60)-((((H15*1440)-60)^1.6))/1.2)/86400),"",((((H15*1440)-60)*60)-((((H15*1440)-60)^1.6))/1.2)/86400),"")</f>
        <v/>
      </c>
      <c r="N15" s="100" t="str">
        <f>IF(FacingSheet!$B$11=50,IF(ISERROR(((((H15*1440)-105)*60)-((((H15*1440)-105)^1.6))/2)/86400),"",((((H15*1440)-105)*60)-((((H15*1440)-105)^1.6))/2)/86400),"")</f>
        <v/>
      </c>
      <c r="O15" s="100" t="str">
        <f>IF(FacingSheet!$B$11=100,IF(ISERROR(((((H15*1440)-230)*60)-((((H15*1440)-230)^1.6))/4)/86400),"",((((H15*1440)-230)*60)-((((H15*1440)-230)^1.6))/4)/86400),"")</f>
        <v/>
      </c>
      <c r="P15" s="108">
        <f>IF(FacingSheet!$B$11=10,J15,IF(FacingSheet!$B$11=15,K15,IF(FacingSheet!$B$11=25,L15,IF(FacingSheet!$B$11=30,M15,IF(FacingSheet!$B$11=50,N15,IF(FacingSheet!$B$11=100,O15,""))))))</f>
        <v>3.4239414973733845E-3</v>
      </c>
      <c r="Q15" s="65">
        <f>IF(OR(F15="V",F15="FV"),IF(I15="","",IF(MONTH(FacingSheet!$S$9)&gt;MONTH(I15),YEAR(FacingSheet!$S$9)-YEAR(I15),IF(AND(MONTH(FacingSheet!$S$9)=MONTH(I15),DAY(FacingSheet!$S$9)&gt;=DAY(I15)),YEAR(FacingSheet!$S$9)-YEAR(I15),(YEAR(FacingSheet!$S$9)-YEAR(I15))-1))),"")</f>
        <v>77</v>
      </c>
      <c r="R15" s="108">
        <f>IF(Q15="","",IF(FacingSheet!$B$11=10,VLOOKUP(Q15,Age,2,FALSE),IF(FacingSheet!$B$11=15,VLOOKUP(Q15,Age,3,FALSE),IF(FacingSheet!$B$11=25,VLOOKUP(Q15,Age,4,FALSE),IF(FacingSheet!$B$11=30,VLOOKUP(Q15,Age,5,FALSE),IF(FacingSheet!$B$11=50,VLOOKUP(Q15,Age,6,FALSE),IF(FacingSheet!$B$11=100,VLOOKUP(Q15,Age,7,FALSE),"")))))))</f>
        <v>2.1168981481481483E-2</v>
      </c>
      <c r="S15" s="108">
        <f>IF(Q15="","",IF(FacingSheet!$B$11=10,VLOOKUP(Q15,AgeF,2,FALSE),IF(FacingSheet!$B$11=15,VLOOKUP(Q15,AgeF,3,FALSE),IF(FacingSheet!$B$11=25,VLOOKUP(Q15,AgeF,4,FALSE),IF(FacingSheet!$B$11=30,VLOOKUP(Q15,AgeF,5,FALSE),IF(FacingSheet!$B$11=50,VLOOKUP(Q15,AgeF,6,FALSE),IF(FacingSheet!$B$11=100,VLOOKUP(Q15,AgeF,7,FALSE),"")))))))</f>
        <v>2.3032407407407408E-2</v>
      </c>
      <c r="T15" s="108">
        <f t="shared" si="1"/>
        <v>2.1168981481481483E-2</v>
      </c>
      <c r="U15" s="29"/>
      <c r="V15" s="29"/>
      <c r="W15" s="29"/>
      <c r="X15" s="132"/>
      <c r="Y15" s="132"/>
      <c r="Z15" s="132"/>
    </row>
    <row r="16" spans="1:26">
      <c r="A16" s="36">
        <v>34</v>
      </c>
      <c r="B16" s="133" t="str">
        <f>"Andrew"</f>
        <v>Andrew</v>
      </c>
      <c r="C16" s="133" t="str">
        <f>"Paterson"</f>
        <v>Paterson</v>
      </c>
      <c r="D16" s="1" t="str">
        <f t="shared" si="0"/>
        <v>Andrew Paterson</v>
      </c>
      <c r="E16" s="29" t="str">
        <f>"Elgin CC"</f>
        <v>Elgin CC</v>
      </c>
      <c r="F16" s="29" t="s">
        <v>56</v>
      </c>
      <c r="G16" s="29" t="str">
        <f>"1820763"</f>
        <v>1820763</v>
      </c>
      <c r="H16" s="193">
        <v>1.7094907407407406E-2</v>
      </c>
      <c r="I16" s="131" t="str">
        <f>"21/11/2008"</f>
        <v>21/11/2008</v>
      </c>
      <c r="J16" s="100">
        <f>IF(FacingSheet!$B$11=10,IF(ISERROR(((((H16*1440)-20)*60)-(((H16*1440)-20)^1.6)*2.5)/86400),"",((((H16*1440)-20)*60)-(((H16*1440)-20)^1.6)*2.5)/86400),"")</f>
        <v>2.8715525803165737E-3</v>
      </c>
      <c r="K16" s="100" t="str">
        <f>IF(FacingSheet!$B$11=15,IF(ISERROR(((((H16*1440)-33)*60)-(((H16*1440)-33)^1.6)*1.667)/86400),"",((((H16*1440)-33)*60)-(((H16*1440)-33)^1.6)*1.667)/86400),"")</f>
        <v/>
      </c>
      <c r="L16" s="100" t="str">
        <f>IF(FacingSheet!$B$11=25,IF(ISERROR(((((H16*1440)-50)*60)-(((H16*1440)-50)^1.6))/86400),"",((((H16*1440)-50)*60)-(((H16*1440)-50)^1.6))/86400),"")</f>
        <v/>
      </c>
      <c r="M16" s="100" t="str">
        <f>IF(FacingSheet!$B$11=30,IF(ISERROR(((((H16*1440)-60)*60)-((((H16*1440)-60)^1.6))/1.2)/86400),"",((((H16*1440)-60)*60)-((((H16*1440)-60)^1.6))/1.2)/86400),"")</f>
        <v/>
      </c>
      <c r="N16" s="100" t="str">
        <f>IF(FacingSheet!$B$11=50,IF(ISERROR(((((H16*1440)-105)*60)-((((H16*1440)-105)^1.6))/2)/86400),"",((((H16*1440)-105)*60)-((((H16*1440)-105)^1.6))/2)/86400),"")</f>
        <v/>
      </c>
      <c r="O16" s="100" t="str">
        <f>IF(FacingSheet!$B$11=100,IF(ISERROR(((((H16*1440)-230)*60)-((((H16*1440)-230)^1.6))/4)/86400),"",((((H16*1440)-230)*60)-((((H16*1440)-230)^1.6))/4)/86400),"")</f>
        <v/>
      </c>
      <c r="P16" s="108">
        <f>IF(FacingSheet!$B$11=10,J16,IF(FacingSheet!$B$11=15,K16,IF(FacingSheet!$B$11=25,L16,IF(FacingSheet!$B$11=30,M16,IF(FacingSheet!$B$11=50,N16,IF(FacingSheet!$B$11=100,O16,""))))))</f>
        <v>2.8715525803165737E-3</v>
      </c>
      <c r="Q16" s="65" t="str">
        <f>IF(OR(F16="V",F16="FV"),IF(I16="","",IF(MONTH(FacingSheet!$S$9)&gt;MONTH(I16),YEAR(FacingSheet!$S$9)-YEAR(I16),IF(AND(MONTH(FacingSheet!$S$9)=MONTH(I16),DAY(FacingSheet!$S$9)&gt;=DAY(I16)),YEAR(FacingSheet!$S$9)-YEAR(I16),(YEAR(FacingSheet!$S$9)-YEAR(I16))-1))),"")</f>
        <v/>
      </c>
      <c r="R16" s="108" t="str">
        <f>IF(Q16="","",IF(FacingSheet!$B$11=10,VLOOKUP(Q16,Age,2,FALSE),IF(FacingSheet!$B$11=15,VLOOKUP(Q16,Age,3,FALSE),IF(FacingSheet!$B$11=25,VLOOKUP(Q16,Age,4,FALSE),IF(FacingSheet!$B$11=30,VLOOKUP(Q16,Age,5,FALSE),IF(FacingSheet!$B$11=50,VLOOKUP(Q16,Age,6,FALSE),IF(FacingSheet!$B$11=100,VLOOKUP(Q16,Age,7,FALSE),"")))))))</f>
        <v/>
      </c>
      <c r="S16" s="108" t="str">
        <f>IF(Q16="","",IF(FacingSheet!$B$11=10,VLOOKUP(Q16,AgeF,2,FALSE),IF(FacingSheet!$B$11=15,VLOOKUP(Q16,AgeF,3,FALSE),IF(FacingSheet!$B$11=25,VLOOKUP(Q16,AgeF,4,FALSE),IF(FacingSheet!$B$11=30,VLOOKUP(Q16,AgeF,5,FALSE),IF(FacingSheet!$B$11=50,VLOOKUP(Q16,AgeF,6,FALSE),IF(FacingSheet!$B$11=100,VLOOKUP(Q16,AgeF,7,FALSE),"")))))))</f>
        <v/>
      </c>
      <c r="T16" s="108" t="str">
        <f t="shared" si="1"/>
        <v/>
      </c>
      <c r="U16" s="29"/>
      <c r="V16" s="29"/>
      <c r="W16" s="29"/>
      <c r="X16" s="132"/>
      <c r="Y16" s="132"/>
      <c r="Z16" s="132"/>
    </row>
    <row r="17" spans="1:26">
      <c r="A17" s="36">
        <v>35</v>
      </c>
      <c r="B17" s="133" t="str">
        <f>"Robin"</f>
        <v>Robin</v>
      </c>
      <c r="C17" s="133" t="str">
        <f>"Atkinson"</f>
        <v>Atkinson</v>
      </c>
      <c r="D17" s="1" t="str">
        <f t="shared" si="0"/>
        <v>Robin Atkinson</v>
      </c>
      <c r="E17" s="29" t="str">
        <f>"Shetland Wheelers"</f>
        <v>Shetland Wheelers</v>
      </c>
      <c r="F17" s="29" t="s">
        <v>57</v>
      </c>
      <c r="G17" s="29" t="str">
        <f>"833363"</f>
        <v>833363</v>
      </c>
      <c r="H17" s="193">
        <v>1.4236111111111111E-2</v>
      </c>
      <c r="I17" s="131" t="str">
        <f>"03/06/1980"</f>
        <v>03/06/1980</v>
      </c>
      <c r="J17" s="100">
        <f>IF(FacingSheet!$B$11=10,IF(ISERROR(((((H17*1440)-20)*60)-(((H17*1440)-20)^1.6)*2.5)/86400),"",((((H17*1440)-20)*60)-(((H17*1440)-20)^1.6)*2.5)/86400),"")</f>
        <v>3.3767717078433962E-4</v>
      </c>
      <c r="K17" s="100" t="str">
        <f>IF(FacingSheet!$B$11=15,IF(ISERROR(((((H17*1440)-33)*60)-(((H17*1440)-33)^1.6)*1.667)/86400),"",((((H17*1440)-33)*60)-(((H17*1440)-33)^1.6)*1.667)/86400),"")</f>
        <v/>
      </c>
      <c r="L17" s="100" t="str">
        <f>IF(FacingSheet!$B$11=25,IF(ISERROR(((((H17*1440)-50)*60)-(((H17*1440)-50)^1.6))/86400),"",((((H17*1440)-50)*60)-(((H17*1440)-50)^1.6))/86400),"")</f>
        <v/>
      </c>
      <c r="M17" s="100" t="str">
        <f>IF(FacingSheet!$B$11=30,IF(ISERROR(((((H17*1440)-60)*60)-((((H17*1440)-60)^1.6))/1.2)/86400),"",((((H17*1440)-60)*60)-((((H17*1440)-60)^1.6))/1.2)/86400),"")</f>
        <v/>
      </c>
      <c r="N17" s="100" t="str">
        <f>IF(FacingSheet!$B$11=50,IF(ISERROR(((((H17*1440)-105)*60)-((((H17*1440)-105)^1.6))/2)/86400),"",((((H17*1440)-105)*60)-((((H17*1440)-105)^1.6))/2)/86400),"")</f>
        <v/>
      </c>
      <c r="O17" s="100" t="str">
        <f>IF(FacingSheet!$B$11=100,IF(ISERROR(((((H17*1440)-230)*60)-((((H17*1440)-230)^1.6))/4)/86400),"",((((H17*1440)-230)*60)-((((H17*1440)-230)^1.6))/4)/86400),"")</f>
        <v/>
      </c>
      <c r="P17" s="108">
        <f>IF(FacingSheet!$B$11=10,J17,IF(FacingSheet!$B$11=15,K17,IF(FacingSheet!$B$11=25,L17,IF(FacingSheet!$B$11=30,M17,IF(FacingSheet!$B$11=50,N17,IF(FacingSheet!$B$11=100,O17,""))))))</f>
        <v>3.3767717078433962E-4</v>
      </c>
      <c r="Q17" s="65">
        <f>IF(OR(F17="V",F17="FV"),IF(I17="","",IF(MONTH(FacingSheet!$S$9)&gt;MONTH(I17),YEAR(FacingSheet!$S$9)-YEAR(I17),IF(AND(MONTH(FacingSheet!$S$9)=MONTH(I17),DAY(FacingSheet!$S$9)&gt;=DAY(I17)),YEAR(FacingSheet!$S$9)-YEAR(I17),(YEAR(FacingSheet!$S$9)-YEAR(I17))-1))),"")</f>
        <v>45</v>
      </c>
      <c r="R17" s="108">
        <f>IF(Q17="","",IF(FacingSheet!$B$11=10,VLOOKUP(Q17,Age,2,FALSE),IF(FacingSheet!$B$11=15,VLOOKUP(Q17,Age,3,FALSE),IF(FacingSheet!$B$11=25,VLOOKUP(Q17,Age,4,FALSE),IF(FacingSheet!$B$11=30,VLOOKUP(Q17,Age,5,FALSE),IF(FacingSheet!$B$11=50,VLOOKUP(Q17,Age,6,FALSE),IF(FacingSheet!$B$11=100,VLOOKUP(Q17,Age,7,FALSE),"")))))))</f>
        <v>1.8368055555555554E-2</v>
      </c>
      <c r="S17" s="108">
        <f>IF(Q17="","",IF(FacingSheet!$B$11=10,VLOOKUP(Q17,AgeF,2,FALSE),IF(FacingSheet!$B$11=15,VLOOKUP(Q17,AgeF,3,FALSE),IF(FacingSheet!$B$11=25,VLOOKUP(Q17,AgeF,4,FALSE),IF(FacingSheet!$B$11=30,VLOOKUP(Q17,AgeF,5,FALSE),IF(FacingSheet!$B$11=50,VLOOKUP(Q17,AgeF,6,FALSE),IF(FacingSheet!$B$11=100,VLOOKUP(Q17,AgeF,7,FALSE),"")))))))</f>
        <v>1.9930555555555556E-2</v>
      </c>
      <c r="T17" s="108">
        <f t="shared" si="1"/>
        <v>1.8368055555555554E-2</v>
      </c>
      <c r="U17" s="29"/>
      <c r="V17" s="29"/>
      <c r="W17" s="29"/>
      <c r="X17" s="132"/>
      <c r="Y17" s="132"/>
      <c r="Z17" s="132"/>
    </row>
    <row r="18" spans="1:26">
      <c r="A18" s="36">
        <v>30</v>
      </c>
      <c r="B18" s="133" t="str">
        <f>"Tom"</f>
        <v>Tom</v>
      </c>
      <c r="C18" s="133" t="str">
        <f>"Broadbent"</f>
        <v>Broadbent</v>
      </c>
      <c r="D18" s="1" t="str">
        <f t="shared" si="0"/>
        <v>Tom Broadbent</v>
      </c>
      <c r="E18" s="29" t="str">
        <f>"MGC RT"</f>
        <v>MGC RT</v>
      </c>
      <c r="F18" s="29" t="s">
        <v>57</v>
      </c>
      <c r="G18" s="29" t="str">
        <f>"441717"</f>
        <v>441717</v>
      </c>
      <c r="H18" s="193">
        <v>1.4293981481481482E-2</v>
      </c>
      <c r="I18" s="131" t="str">
        <f>"04/07/1981"</f>
        <v>04/07/1981</v>
      </c>
      <c r="J18" s="100">
        <f>IF(FacingSheet!$B$11=10,IF(ISERROR(((((H18*1440)-20)*60)-(((H18*1440)-20)^1.6)*2.5)/86400),"",((((H18*1440)-20)*60)-(((H18*1440)-20)^1.6)*2.5)/86400),"")</f>
        <v>3.9287760200834891E-4</v>
      </c>
      <c r="K18" s="100" t="str">
        <f>IF(FacingSheet!$B$11=15,IF(ISERROR(((((H18*1440)-33)*60)-(((H18*1440)-33)^1.6)*1.667)/86400),"",((((H18*1440)-33)*60)-(((H18*1440)-33)^1.6)*1.667)/86400),"")</f>
        <v/>
      </c>
      <c r="L18" s="100" t="str">
        <f>IF(FacingSheet!$B$11=25,IF(ISERROR(((((H18*1440)-50)*60)-(((H18*1440)-50)^1.6))/86400),"",((((H18*1440)-50)*60)-(((H18*1440)-50)^1.6))/86400),"")</f>
        <v/>
      </c>
      <c r="M18" s="100" t="str">
        <f>IF(FacingSheet!$B$11=30,IF(ISERROR(((((H18*1440)-60)*60)-((((H18*1440)-60)^1.6))/1.2)/86400),"",((((H18*1440)-60)*60)-((((H18*1440)-60)^1.6))/1.2)/86400),"")</f>
        <v/>
      </c>
      <c r="N18" s="100" t="str">
        <f>IF(FacingSheet!$B$11=50,IF(ISERROR(((((H18*1440)-105)*60)-((((H18*1440)-105)^1.6))/2)/86400),"",((((H18*1440)-105)*60)-((((H18*1440)-105)^1.6))/2)/86400),"")</f>
        <v/>
      </c>
      <c r="O18" s="100" t="str">
        <f>IF(FacingSheet!$B$11=100,IF(ISERROR(((((H18*1440)-230)*60)-((((H18*1440)-230)^1.6))/4)/86400),"",((((H18*1440)-230)*60)-((((H18*1440)-230)^1.6))/4)/86400),"")</f>
        <v/>
      </c>
      <c r="P18" s="108">
        <f>IF(FacingSheet!$B$11=10,J18,IF(FacingSheet!$B$11=15,K18,IF(FacingSheet!$B$11=25,L18,IF(FacingSheet!$B$11=30,M18,IF(FacingSheet!$B$11=50,N18,IF(FacingSheet!$B$11=100,O18,""))))))</f>
        <v>3.9287760200834891E-4</v>
      </c>
      <c r="Q18" s="65">
        <f>IF(OR(F18="V",F18="FV"),IF(I18="","",IF(MONTH(FacingSheet!$S$9)&gt;MONTH(I18),YEAR(FacingSheet!$S$9)-YEAR(I18),IF(AND(MONTH(FacingSheet!$S$9)=MONTH(I18),DAY(FacingSheet!$S$9)&gt;=DAY(I18)),YEAR(FacingSheet!$S$9)-YEAR(I18),(YEAR(FacingSheet!$S$9)-YEAR(I18))-1))),"")</f>
        <v>44</v>
      </c>
      <c r="R18" s="108">
        <f>IF(Q18="","",IF(FacingSheet!$B$11=10,VLOOKUP(Q18,Age,2,FALSE),IF(FacingSheet!$B$11=15,VLOOKUP(Q18,Age,3,FALSE),IF(FacingSheet!$B$11=25,VLOOKUP(Q18,Age,4,FALSE),IF(FacingSheet!$B$11=30,VLOOKUP(Q18,Age,5,FALSE),IF(FacingSheet!$B$11=50,VLOOKUP(Q18,Age,6,FALSE),IF(FacingSheet!$B$11=100,VLOOKUP(Q18,Age,7,FALSE),"")))))))</f>
        <v>1.8310185185185186E-2</v>
      </c>
      <c r="S18" s="108">
        <f>IF(Q18="","",IF(FacingSheet!$B$11=10,VLOOKUP(Q18,AgeF,2,FALSE),IF(FacingSheet!$B$11=15,VLOOKUP(Q18,AgeF,3,FALSE),IF(FacingSheet!$B$11=25,VLOOKUP(Q18,AgeF,4,FALSE),IF(FacingSheet!$B$11=30,VLOOKUP(Q18,AgeF,5,FALSE),IF(FacingSheet!$B$11=50,VLOOKUP(Q18,AgeF,6,FALSE),IF(FacingSheet!$B$11=100,VLOOKUP(Q18,AgeF,7,FALSE),"")))))))</f>
        <v>1.9861111111111111E-2</v>
      </c>
      <c r="T18" s="108">
        <f t="shared" si="1"/>
        <v>1.8310185185185186E-2</v>
      </c>
      <c r="U18" s="29"/>
      <c r="V18" s="29"/>
      <c r="W18" s="29"/>
      <c r="X18" s="132"/>
      <c r="Y18" s="132"/>
      <c r="Z18" s="132"/>
    </row>
    <row r="19" spans="1:26">
      <c r="A19" s="36">
        <v>29</v>
      </c>
      <c r="B19" s="133" t="str">
        <f>"Christine"</f>
        <v>Christine</v>
      </c>
      <c r="C19" s="133" t="str">
        <f>"Brumhead"</f>
        <v>Brumhead</v>
      </c>
      <c r="D19" s="1" t="str">
        <f t="shared" si="0"/>
        <v>Christine Brumhead</v>
      </c>
      <c r="E19" s="29" t="str">
        <f>"Inverness Cycle Club"</f>
        <v>Inverness Cycle Club</v>
      </c>
      <c r="F19" s="29" t="s">
        <v>52</v>
      </c>
      <c r="G19" s="29" t="str">
        <f>"1760730"</f>
        <v>1760730</v>
      </c>
      <c r="H19" s="193">
        <v>2.2187499999999999E-2</v>
      </c>
      <c r="I19" s="131" t="str">
        <f>"24/12/1956"</f>
        <v>24/12/1956</v>
      </c>
      <c r="J19" s="100">
        <f>IF(FacingSheet!$B$11=10,IF(ISERROR(((((H19*1440)-20)*60)-(((H19*1440)-20)^1.6)*2.5)/86400),"",((((H19*1440)-20)*60)-(((H19*1440)-20)^1.6)*2.5)/86400),"")</f>
        <v>6.7667657891126139E-3</v>
      </c>
      <c r="K19" s="100" t="str">
        <f>IF(FacingSheet!$B$11=15,IF(ISERROR(((((H19*1440)-33)*60)-(((H19*1440)-33)^1.6)*1.667)/86400),"",((((H19*1440)-33)*60)-(((H19*1440)-33)^1.6)*1.667)/86400),"")</f>
        <v/>
      </c>
      <c r="L19" s="100" t="str">
        <f>IF(FacingSheet!$B$11=25,IF(ISERROR(((((H19*1440)-50)*60)-(((H19*1440)-50)^1.6))/86400),"",((((H19*1440)-50)*60)-(((H19*1440)-50)^1.6))/86400),"")</f>
        <v/>
      </c>
      <c r="M19" s="100" t="str">
        <f>IF(FacingSheet!$B$11=30,IF(ISERROR(((((H19*1440)-60)*60)-((((H19*1440)-60)^1.6))/1.2)/86400),"",((((H19*1440)-60)*60)-((((H19*1440)-60)^1.6))/1.2)/86400),"")</f>
        <v/>
      </c>
      <c r="N19" s="100" t="str">
        <f>IF(FacingSheet!$B$11=50,IF(ISERROR(((((H19*1440)-105)*60)-((((H19*1440)-105)^1.6))/2)/86400),"",((((H19*1440)-105)*60)-((((H19*1440)-105)^1.6))/2)/86400),"")</f>
        <v/>
      </c>
      <c r="O19" s="100" t="str">
        <f>IF(FacingSheet!$B$11=100,IF(ISERROR(((((H19*1440)-230)*60)-((((H19*1440)-230)^1.6))/4)/86400),"",((((H19*1440)-230)*60)-((((H19*1440)-230)^1.6))/4)/86400),"")</f>
        <v/>
      </c>
      <c r="P19" s="108">
        <f>IF(FacingSheet!$B$11=10,J19,IF(FacingSheet!$B$11=15,K19,IF(FacingSheet!$B$11=25,L19,IF(FacingSheet!$B$11=30,M19,IF(FacingSheet!$B$11=50,N19,IF(FacingSheet!$B$11=100,O19,""))))))</f>
        <v>6.7667657891126139E-3</v>
      </c>
      <c r="Q19" s="65">
        <f>IF(OR(F19="V",F19="FV"),IF(I19="","",IF(MONTH(FacingSheet!$S$9)&gt;MONTH(I19),YEAR(FacingSheet!$S$9)-YEAR(I19),IF(AND(MONTH(FacingSheet!$S$9)=MONTH(I19),DAY(FacingSheet!$S$9)&gt;=DAY(I19)),YEAR(FacingSheet!$S$9)-YEAR(I19),(YEAR(FacingSheet!$S$9)-YEAR(I19))-1))),"")</f>
        <v>68</v>
      </c>
      <c r="R19" s="108">
        <f>IF(Q19="","",IF(FacingSheet!$B$11=10,VLOOKUP(Q19,Age,2,FALSE),IF(FacingSheet!$B$11=15,VLOOKUP(Q19,Age,3,FALSE),IF(FacingSheet!$B$11=25,VLOOKUP(Q19,Age,4,FALSE),IF(FacingSheet!$B$11=30,VLOOKUP(Q19,Age,5,FALSE),IF(FacingSheet!$B$11=50,VLOOKUP(Q19,Age,6,FALSE),IF(FacingSheet!$B$11=100,VLOOKUP(Q19,Age,7,FALSE),"")))))))</f>
        <v>1.9895833333333335E-2</v>
      </c>
      <c r="S19" s="108">
        <f>IF(Q19="","",IF(FacingSheet!$B$11=10,VLOOKUP(Q19,AgeF,2,FALSE),IF(FacingSheet!$B$11=15,VLOOKUP(Q19,AgeF,3,FALSE),IF(FacingSheet!$B$11=25,VLOOKUP(Q19,AgeF,4,FALSE),IF(FacingSheet!$B$11=30,VLOOKUP(Q19,AgeF,5,FALSE),IF(FacingSheet!$B$11=50,VLOOKUP(Q19,AgeF,6,FALSE),IF(FacingSheet!$B$11=100,VLOOKUP(Q19,AgeF,7,FALSE),"")))))))</f>
        <v>2.162037037037037E-2</v>
      </c>
      <c r="T19" s="108">
        <f t="shared" si="1"/>
        <v>2.162037037037037E-2</v>
      </c>
      <c r="U19" s="29"/>
      <c r="V19" s="29"/>
      <c r="W19" s="29"/>
      <c r="X19" s="132"/>
      <c r="Y19" s="132"/>
      <c r="Z19" s="132"/>
    </row>
    <row r="20" spans="1:26">
      <c r="A20" s="36">
        <v>31</v>
      </c>
      <c r="B20" s="133" t="str">
        <f>"Angus"</f>
        <v>Angus</v>
      </c>
      <c r="C20" s="133" t="str">
        <f>"Brumhead"</f>
        <v>Brumhead</v>
      </c>
      <c r="D20" s="1" t="str">
        <f t="shared" si="0"/>
        <v>Angus Brumhead</v>
      </c>
      <c r="E20" s="29" t="str">
        <f>"Inverness Cycle Club"</f>
        <v>Inverness Cycle Club</v>
      </c>
      <c r="F20" s="29" t="s">
        <v>57</v>
      </c>
      <c r="G20" s="29" t="str">
        <f>"1760731"</f>
        <v>1760731</v>
      </c>
      <c r="H20" s="99">
        <v>1.7939814814814815E-2</v>
      </c>
      <c r="I20" s="131" t="str">
        <f>"31/01/1951"</f>
        <v>31/01/1951</v>
      </c>
      <c r="J20" s="100">
        <f>IF(FacingSheet!$B$11=10,IF(ISERROR(((((H20*1440)-20)*60)-(((H20*1440)-20)^1.6)*2.5)/86400),"",((((H20*1440)-20)*60)-(((H20*1440)-20)^1.6)*2.5)/86400),"")</f>
        <v>3.5646383919427749E-3</v>
      </c>
      <c r="K20" s="100" t="str">
        <f>IF(FacingSheet!$B$11=15,IF(ISERROR(((((H20*1440)-33)*60)-(((H20*1440)-33)^1.6)*1.667)/86400),"",((((H20*1440)-33)*60)-(((H20*1440)-33)^1.6)*1.667)/86400),"")</f>
        <v/>
      </c>
      <c r="L20" s="100" t="str">
        <f>IF(FacingSheet!$B$11=25,IF(ISERROR(((((H20*1440)-50)*60)-(((H20*1440)-50)^1.6))/86400),"",((((H20*1440)-50)*60)-(((H20*1440)-50)^1.6))/86400),"")</f>
        <v/>
      </c>
      <c r="M20" s="100" t="str">
        <f>IF(FacingSheet!$B$11=30,IF(ISERROR(((((H20*1440)-60)*60)-((((H20*1440)-60)^1.6))/1.2)/86400),"",((((H20*1440)-60)*60)-((((H20*1440)-60)^1.6))/1.2)/86400),"")</f>
        <v/>
      </c>
      <c r="N20" s="100" t="str">
        <f>IF(FacingSheet!$B$11=50,IF(ISERROR(((((H20*1440)-105)*60)-((((H20*1440)-105)^1.6))/2)/86400),"",((((H20*1440)-105)*60)-((((H20*1440)-105)^1.6))/2)/86400),"")</f>
        <v/>
      </c>
      <c r="O20" s="100" t="str">
        <f>IF(FacingSheet!$B$11=100,IF(ISERROR(((((H20*1440)-230)*60)-((((H20*1440)-230)^1.6))/4)/86400),"",((((H20*1440)-230)*60)-((((H20*1440)-230)^1.6))/4)/86400),"")</f>
        <v/>
      </c>
      <c r="P20" s="108">
        <f>IF(FacingSheet!$B$11=10,J20,IF(FacingSheet!$B$11=15,K20,IF(FacingSheet!$B$11=25,L20,IF(FacingSheet!$B$11=30,M20,IF(FacingSheet!$B$11=50,N20,IF(FacingSheet!$B$11=100,O20,""))))))</f>
        <v>3.5646383919427749E-3</v>
      </c>
      <c r="Q20" s="65">
        <f>IF(OR(F20="V",F20="FV"),IF(I20="","",IF(MONTH(FacingSheet!$S$9)&gt;MONTH(I20),YEAR(FacingSheet!$S$9)-YEAR(I20),IF(AND(MONTH(FacingSheet!$S$9)=MONTH(I20),DAY(FacingSheet!$S$9)&gt;=DAY(I20)),YEAR(FacingSheet!$S$9)-YEAR(I20),(YEAR(FacingSheet!$S$9)-YEAR(I20))-1))),"")</f>
        <v>74</v>
      </c>
      <c r="R20" s="108">
        <f>IF(Q20="","",IF(FacingSheet!$B$11=10,VLOOKUP(Q20,Age,2,FALSE),IF(FacingSheet!$B$11=15,VLOOKUP(Q20,Age,3,FALSE),IF(FacingSheet!$B$11=25,VLOOKUP(Q20,Age,4,FALSE),IF(FacingSheet!$B$11=30,VLOOKUP(Q20,Age,5,FALSE),IF(FacingSheet!$B$11=50,VLOOKUP(Q20,Age,6,FALSE),IF(FacingSheet!$B$11=100,VLOOKUP(Q20,Age,7,FALSE),"")))))))</f>
        <v>2.0659722222222222E-2</v>
      </c>
      <c r="S20" s="108">
        <f>IF(Q20="","",IF(FacingSheet!$B$11=10,VLOOKUP(Q20,AgeF,2,FALSE),IF(FacingSheet!$B$11=15,VLOOKUP(Q20,AgeF,3,FALSE),IF(FacingSheet!$B$11=25,VLOOKUP(Q20,AgeF,4,FALSE),IF(FacingSheet!$B$11=30,VLOOKUP(Q20,AgeF,5,FALSE),IF(FacingSheet!$B$11=50,VLOOKUP(Q20,AgeF,6,FALSE),IF(FacingSheet!$B$11=100,VLOOKUP(Q20,AgeF,7,FALSE),"")))))))</f>
        <v>2.2476851851851852E-2</v>
      </c>
      <c r="T20" s="108">
        <f t="shared" si="1"/>
        <v>2.0659722222222222E-2</v>
      </c>
      <c r="U20" s="29"/>
      <c r="V20" s="29"/>
      <c r="W20" s="29"/>
      <c r="X20" s="132"/>
      <c r="Y20" s="132"/>
      <c r="Z20" s="132"/>
    </row>
    <row r="21" spans="1:26">
      <c r="A21" s="36">
        <v>28</v>
      </c>
      <c r="B21" s="133" t="str">
        <f>"Phil"</f>
        <v>Phil</v>
      </c>
      <c r="C21" s="133" t="str">
        <f>"Cameron"</f>
        <v>Cameron</v>
      </c>
      <c r="D21" s="1" t="str">
        <f t="shared" si="0"/>
        <v>Phil Cameron</v>
      </c>
      <c r="E21" s="29" t="str">
        <f>"Elgin CC"</f>
        <v>Elgin CC</v>
      </c>
      <c r="F21" s="29" t="s">
        <v>57</v>
      </c>
      <c r="G21" s="29" t="str">
        <f>"1736632"</f>
        <v>1736632</v>
      </c>
      <c r="H21" s="193">
        <v>1.7303240740740741E-2</v>
      </c>
      <c r="I21" s="131" t="str">
        <f>"09/08/1984"</f>
        <v>09/08/1984</v>
      </c>
      <c r="J21" s="100">
        <f>IF(FacingSheet!$B$11=10,IF(ISERROR(((((H21*1440)-20)*60)-(((H21*1440)-20)^1.6)*2.5)/86400),"",((((H21*1440)-20)*60)-(((H21*1440)-20)^1.6)*2.5)/86400),"")</f>
        <v>3.0444389396025681E-3</v>
      </c>
      <c r="K21" s="100" t="str">
        <f>IF(FacingSheet!$B$11=15,IF(ISERROR(((((H21*1440)-33)*60)-(((H21*1440)-33)^1.6)*1.667)/86400),"",((((H21*1440)-33)*60)-(((H21*1440)-33)^1.6)*1.667)/86400),"")</f>
        <v/>
      </c>
      <c r="L21" s="100" t="str">
        <f>IF(FacingSheet!$B$11=25,IF(ISERROR(((((H21*1440)-50)*60)-(((H21*1440)-50)^1.6))/86400),"",((((H21*1440)-50)*60)-(((H21*1440)-50)^1.6))/86400),"")</f>
        <v/>
      </c>
      <c r="M21" s="100" t="str">
        <f>IF(FacingSheet!$B$11=30,IF(ISERROR(((((H21*1440)-60)*60)-((((H21*1440)-60)^1.6))/1.2)/86400),"",((((H21*1440)-60)*60)-((((H21*1440)-60)^1.6))/1.2)/86400),"")</f>
        <v/>
      </c>
      <c r="N21" s="100" t="str">
        <f>IF(FacingSheet!$B$11=50,IF(ISERROR(((((H21*1440)-105)*60)-((((H21*1440)-105)^1.6))/2)/86400),"",((((H21*1440)-105)*60)-((((H21*1440)-105)^1.6))/2)/86400),"")</f>
        <v/>
      </c>
      <c r="O21" s="100" t="str">
        <f>IF(FacingSheet!$B$11=100,IF(ISERROR(((((H21*1440)-230)*60)-((((H21*1440)-230)^1.6))/4)/86400),"",((((H21*1440)-230)*60)-((((H21*1440)-230)^1.6))/4)/86400),"")</f>
        <v/>
      </c>
      <c r="P21" s="108">
        <f>IF(FacingSheet!$B$11=10,J21,IF(FacingSheet!$B$11=15,K21,IF(FacingSheet!$B$11=25,L21,IF(FacingSheet!$B$11=30,M21,IF(FacingSheet!$B$11=50,N21,IF(FacingSheet!$B$11=100,O21,""))))))</f>
        <v>3.0444389396025681E-3</v>
      </c>
      <c r="Q21" s="65">
        <f>IF(OR(F21="V",F21="FV"),IF(I21="","",IF(MONTH(FacingSheet!$S$9)&gt;MONTH(I21),YEAR(FacingSheet!$S$9)-YEAR(I21),IF(AND(MONTH(FacingSheet!$S$9)=MONTH(I21),DAY(FacingSheet!$S$9)&gt;=DAY(I21)),YEAR(FacingSheet!$S$9)-YEAR(I21),(YEAR(FacingSheet!$S$9)-YEAR(I21))-1))),"")</f>
        <v>41</v>
      </c>
      <c r="R21" s="108">
        <f>IF(Q21="","",IF(FacingSheet!$B$11=10,VLOOKUP(Q21,Age,2,FALSE),IF(FacingSheet!$B$11=15,VLOOKUP(Q21,Age,3,FALSE),IF(FacingSheet!$B$11=25,VLOOKUP(Q21,Age,4,FALSE),IF(FacingSheet!$B$11=30,VLOOKUP(Q21,Age,5,FALSE),IF(FacingSheet!$B$11=50,VLOOKUP(Q21,Age,6,FALSE),IF(FacingSheet!$B$11=100,VLOOKUP(Q21,Age,7,FALSE),"")))))))</f>
        <v>1.8136574074074076E-2</v>
      </c>
      <c r="S21" s="108">
        <f>IF(Q21="","",IF(FacingSheet!$B$11=10,VLOOKUP(Q21,AgeF,2,FALSE),IF(FacingSheet!$B$11=15,VLOOKUP(Q21,AgeF,3,FALSE),IF(FacingSheet!$B$11=25,VLOOKUP(Q21,AgeF,4,FALSE),IF(FacingSheet!$B$11=30,VLOOKUP(Q21,AgeF,5,FALSE),IF(FacingSheet!$B$11=50,VLOOKUP(Q21,AgeF,6,FALSE),IF(FacingSheet!$B$11=100,VLOOKUP(Q21,AgeF,7,FALSE),"")))))))</f>
        <v>1.9675925925925927E-2</v>
      </c>
      <c r="T21" s="108">
        <f t="shared" si="1"/>
        <v>1.8136574074074076E-2</v>
      </c>
      <c r="U21" s="29"/>
      <c r="V21" s="29"/>
      <c r="W21" s="29"/>
      <c r="X21" s="132"/>
      <c r="Y21" s="132"/>
      <c r="Z21" s="132"/>
    </row>
    <row r="22" spans="1:26">
      <c r="A22" s="36">
        <v>32</v>
      </c>
      <c r="B22" s="133" t="str">
        <f>"Kyle"</f>
        <v>Kyle</v>
      </c>
      <c r="C22" s="133" t="str">
        <f>"Cattanach"</f>
        <v>Cattanach</v>
      </c>
      <c r="D22" s="1" t="str">
        <f t="shared" si="0"/>
        <v>Kyle Cattanach</v>
      </c>
      <c r="E22" s="29" t="str">
        <f>"Moray Firth Cycling Club"</f>
        <v>Moray Firth Cycling Club</v>
      </c>
      <c r="F22" s="29" t="s">
        <v>58</v>
      </c>
      <c r="G22" s="29" t="str">
        <f>"1834071"</f>
        <v>1834071</v>
      </c>
      <c r="H22" s="193">
        <v>1.7361111111111112E-2</v>
      </c>
      <c r="I22" s="131" t="str">
        <f>"09/08/1996"</f>
        <v>09/08/1996</v>
      </c>
      <c r="J22" s="100">
        <f>IF(FacingSheet!$B$11=10,IF(ISERROR(((((H22*1440)-20)*60)-(((H22*1440)-20)^1.6)*2.5)/86400),"",((((H22*1440)-20)*60)-(((H22*1440)-20)^1.6)*2.5)/86400),"")</f>
        <v>3.0922268801499178E-3</v>
      </c>
      <c r="K22" s="100" t="str">
        <f>IF(FacingSheet!$B$11=15,IF(ISERROR(((((H22*1440)-33)*60)-(((H22*1440)-33)^1.6)*1.667)/86400),"",((((H22*1440)-33)*60)-(((H22*1440)-33)^1.6)*1.667)/86400),"")</f>
        <v/>
      </c>
      <c r="L22" s="100" t="str">
        <f>IF(FacingSheet!$B$11=25,IF(ISERROR(((((H22*1440)-50)*60)-(((H22*1440)-50)^1.6))/86400),"",((((H22*1440)-50)*60)-(((H22*1440)-50)^1.6))/86400),"")</f>
        <v/>
      </c>
      <c r="M22" s="100" t="str">
        <f>IF(FacingSheet!$B$11=30,IF(ISERROR(((((H22*1440)-60)*60)-((((H22*1440)-60)^1.6))/1.2)/86400),"",((((H22*1440)-60)*60)-((((H22*1440)-60)^1.6))/1.2)/86400),"")</f>
        <v/>
      </c>
      <c r="N22" s="100" t="str">
        <f>IF(FacingSheet!$B$11=50,IF(ISERROR(((((H22*1440)-105)*60)-((((H22*1440)-105)^1.6))/2)/86400),"",((((H22*1440)-105)*60)-((((H22*1440)-105)^1.6))/2)/86400),"")</f>
        <v/>
      </c>
      <c r="O22" s="100" t="str">
        <f>IF(FacingSheet!$B$11=100,IF(ISERROR(((((H22*1440)-230)*60)-((((H22*1440)-230)^1.6))/4)/86400),"",((((H22*1440)-230)*60)-((((H22*1440)-230)^1.6))/4)/86400),"")</f>
        <v/>
      </c>
      <c r="P22" s="108">
        <f>IF(FacingSheet!$B$11=10,J22,IF(FacingSheet!$B$11=15,K22,IF(FacingSheet!$B$11=25,L22,IF(FacingSheet!$B$11=30,M22,IF(FacingSheet!$B$11=50,N22,IF(FacingSheet!$B$11=100,O22,""))))))</f>
        <v>3.0922268801499178E-3</v>
      </c>
      <c r="Q22" s="65" t="str">
        <f>IF(OR(F22="V",F22="FV"),IF(I22="","",IF(MONTH(FacingSheet!$S$9)&gt;MONTH(I22),YEAR(FacingSheet!$S$9)-YEAR(I22),IF(AND(MONTH(FacingSheet!$S$9)=MONTH(I22),DAY(FacingSheet!$S$9)&gt;=DAY(I22)),YEAR(FacingSheet!$S$9)-YEAR(I22),(YEAR(FacingSheet!$S$9)-YEAR(I22))-1))),"")</f>
        <v/>
      </c>
      <c r="R22" s="108" t="str">
        <f>IF(Q22="","",IF(FacingSheet!$B$11=10,VLOOKUP(Q22,Age,2,FALSE),IF(FacingSheet!$B$11=15,VLOOKUP(Q22,Age,3,FALSE),IF(FacingSheet!$B$11=25,VLOOKUP(Q22,Age,4,FALSE),IF(FacingSheet!$B$11=30,VLOOKUP(Q22,Age,5,FALSE),IF(FacingSheet!$B$11=50,VLOOKUP(Q22,Age,6,FALSE),IF(FacingSheet!$B$11=100,VLOOKUP(Q22,Age,7,FALSE),"")))))))</f>
        <v/>
      </c>
      <c r="S22" s="108" t="str">
        <f>IF(Q22="","",IF(FacingSheet!$B$11=10,VLOOKUP(Q22,AgeF,2,FALSE),IF(FacingSheet!$B$11=15,VLOOKUP(Q22,AgeF,3,FALSE),IF(FacingSheet!$B$11=25,VLOOKUP(Q22,AgeF,4,FALSE),IF(FacingSheet!$B$11=30,VLOOKUP(Q22,AgeF,5,FALSE),IF(FacingSheet!$B$11=50,VLOOKUP(Q22,AgeF,6,FALSE),IF(FacingSheet!$B$11=100,VLOOKUP(Q22,AgeF,7,FALSE),"")))))))</f>
        <v/>
      </c>
      <c r="T22" s="108" t="str">
        <f t="shared" si="1"/>
        <v/>
      </c>
      <c r="U22" s="29"/>
      <c r="V22" s="29"/>
      <c r="W22" s="29"/>
      <c r="X22" s="132"/>
      <c r="Y22" s="132"/>
      <c r="Z22" s="132"/>
    </row>
    <row r="23" spans="1:26">
      <c r="A23" s="36">
        <v>53</v>
      </c>
      <c r="B23" s="133" t="str">
        <f>"Tyler"</f>
        <v>Tyler</v>
      </c>
      <c r="C23" s="133" t="str">
        <f>"Clare"</f>
        <v>Clare</v>
      </c>
      <c r="D23" s="1" t="str">
        <f t="shared" si="0"/>
        <v>Tyler Clare</v>
      </c>
      <c r="E23" s="29" t="str">
        <f>"Torvelo Racing"</f>
        <v>Torvelo Racing</v>
      </c>
      <c r="F23" s="29" t="s">
        <v>58</v>
      </c>
      <c r="G23" s="29" t="str">
        <f>"1705577"</f>
        <v>1705577</v>
      </c>
      <c r="H23" s="193">
        <v>1.5277777777777777E-2</v>
      </c>
      <c r="I23" s="131" t="str">
        <f>"14/05/2005"</f>
        <v>14/05/2005</v>
      </c>
      <c r="J23" s="100">
        <f>IF(FacingSheet!$B$11=10,IF(ISERROR(((((H23*1440)-20)*60)-(((H23*1440)-20)^1.6)*2.5)/86400),"",((((H23*1440)-20)*60)-(((H23*1440)-20)^1.6)*2.5)/86400),"")</f>
        <v>1.3011738098084261E-3</v>
      </c>
      <c r="K23" s="100" t="str">
        <f>IF(FacingSheet!$B$11=15,IF(ISERROR(((((H23*1440)-33)*60)-(((H23*1440)-33)^1.6)*1.667)/86400),"",((((H23*1440)-33)*60)-(((H23*1440)-33)^1.6)*1.667)/86400),"")</f>
        <v/>
      </c>
      <c r="L23" s="100" t="str">
        <f>IF(FacingSheet!$B$11=25,IF(ISERROR(((((H23*1440)-50)*60)-(((H23*1440)-50)^1.6))/86400),"",((((H23*1440)-50)*60)-(((H23*1440)-50)^1.6))/86400),"")</f>
        <v/>
      </c>
      <c r="M23" s="100" t="str">
        <f>IF(FacingSheet!$B$11=30,IF(ISERROR(((((H23*1440)-60)*60)-((((H23*1440)-60)^1.6))/1.2)/86400),"",((((H23*1440)-60)*60)-((((H23*1440)-60)^1.6))/1.2)/86400),"")</f>
        <v/>
      </c>
      <c r="N23" s="100" t="str">
        <f>IF(FacingSheet!$B$11=50,IF(ISERROR(((((H23*1440)-105)*60)-((((H23*1440)-105)^1.6))/2)/86400),"",((((H23*1440)-105)*60)-((((H23*1440)-105)^1.6))/2)/86400),"")</f>
        <v/>
      </c>
      <c r="O23" s="100" t="str">
        <f>IF(FacingSheet!$B$11=100,IF(ISERROR(((((H23*1440)-230)*60)-((((H23*1440)-230)^1.6))/4)/86400),"",((((H23*1440)-230)*60)-((((H23*1440)-230)^1.6))/4)/86400),"")</f>
        <v/>
      </c>
      <c r="P23" s="108">
        <f>IF(FacingSheet!$B$11=10,J23,IF(FacingSheet!$B$11=15,K23,IF(FacingSheet!$B$11=25,L23,IF(FacingSheet!$B$11=30,M23,IF(FacingSheet!$B$11=50,N23,IF(FacingSheet!$B$11=100,O23,""))))))</f>
        <v>1.3011738098084261E-3</v>
      </c>
      <c r="Q23" s="65" t="str">
        <f>IF(OR(F23="V",F23="FV"),IF(I23="","",IF(MONTH(FacingSheet!$S$9)&gt;MONTH(I23),YEAR(FacingSheet!$S$9)-YEAR(I23),IF(AND(MONTH(FacingSheet!$S$9)=MONTH(I23),DAY(FacingSheet!$S$9)&gt;=DAY(I23)),YEAR(FacingSheet!$S$9)-YEAR(I23),(YEAR(FacingSheet!$S$9)-YEAR(I23))-1))),"")</f>
        <v/>
      </c>
      <c r="R23" s="108" t="str">
        <f>IF(Q23="","",IF(FacingSheet!$B$11=10,VLOOKUP(Q23,Age,2,FALSE),IF(FacingSheet!$B$11=15,VLOOKUP(Q23,Age,3,FALSE),IF(FacingSheet!$B$11=25,VLOOKUP(Q23,Age,4,FALSE),IF(FacingSheet!$B$11=30,VLOOKUP(Q23,Age,5,FALSE),IF(FacingSheet!$B$11=50,VLOOKUP(Q23,Age,6,FALSE),IF(FacingSheet!$B$11=100,VLOOKUP(Q23,Age,7,FALSE),"")))))))</f>
        <v/>
      </c>
      <c r="S23" s="108" t="str">
        <f>IF(Q23="","",IF(FacingSheet!$B$11=10,VLOOKUP(Q23,AgeF,2,FALSE),IF(FacingSheet!$B$11=15,VLOOKUP(Q23,AgeF,3,FALSE),IF(FacingSheet!$B$11=25,VLOOKUP(Q23,AgeF,4,FALSE),IF(FacingSheet!$B$11=30,VLOOKUP(Q23,AgeF,5,FALSE),IF(FacingSheet!$B$11=50,VLOOKUP(Q23,AgeF,6,FALSE),IF(FacingSheet!$B$11=100,VLOOKUP(Q23,AgeF,7,FALSE),"")))))))</f>
        <v/>
      </c>
      <c r="T23" s="108" t="str">
        <f t="shared" si="1"/>
        <v/>
      </c>
      <c r="U23" s="29"/>
      <c r="V23" s="29"/>
      <c r="W23" s="29"/>
      <c r="X23" s="132"/>
      <c r="Y23" s="132"/>
      <c r="Z23" s="132"/>
    </row>
    <row r="24" spans="1:26">
      <c r="A24" s="36">
        <v>36</v>
      </c>
      <c r="B24" s="133" t="str">
        <f>"Malcolm"</f>
        <v>Malcolm</v>
      </c>
      <c r="C24" s="133" t="str">
        <f>"Cleghorn"</f>
        <v>Cleghorn</v>
      </c>
      <c r="D24" s="1" t="str">
        <f t="shared" si="0"/>
        <v>Malcolm Cleghorn</v>
      </c>
      <c r="E24" s="29" t="str">
        <f>"Ross-Shire RCC"</f>
        <v>Ross-Shire RCC</v>
      </c>
      <c r="F24" s="29" t="s">
        <v>57</v>
      </c>
      <c r="G24" s="29" t="str">
        <f>"1090352"</f>
        <v>1090352</v>
      </c>
      <c r="H24" s="193">
        <v>1.8865740740740742E-2</v>
      </c>
      <c r="I24" s="131" t="str">
        <f>"14/01/1964"</f>
        <v>14/01/1964</v>
      </c>
      <c r="J24" s="100">
        <f>IF(FacingSheet!$B$11=10,IF(ISERROR(((((H24*1440)-20)*60)-(((H24*1440)-20)^1.6)*2.5)/86400),"",((((H24*1440)-20)*60)-(((H24*1440)-20)^1.6)*2.5)/86400),"")</f>
        <v>4.3008719332502396E-3</v>
      </c>
      <c r="K24" s="100" t="str">
        <f>IF(FacingSheet!$B$11=15,IF(ISERROR(((((H24*1440)-33)*60)-(((H24*1440)-33)^1.6)*1.667)/86400),"",((((H24*1440)-33)*60)-(((H24*1440)-33)^1.6)*1.667)/86400),"")</f>
        <v/>
      </c>
      <c r="L24" s="100" t="str">
        <f>IF(FacingSheet!$B$11=25,IF(ISERROR(((((H24*1440)-50)*60)-(((H24*1440)-50)^1.6))/86400),"",((((H24*1440)-50)*60)-(((H24*1440)-50)^1.6))/86400),"")</f>
        <v/>
      </c>
      <c r="M24" s="100" t="str">
        <f>IF(FacingSheet!$B$11=30,IF(ISERROR(((((H24*1440)-60)*60)-((((H24*1440)-60)^1.6))/1.2)/86400),"",((((H24*1440)-60)*60)-((((H24*1440)-60)^1.6))/1.2)/86400),"")</f>
        <v/>
      </c>
      <c r="N24" s="100" t="str">
        <f>IF(FacingSheet!$B$11=50,IF(ISERROR(((((H24*1440)-105)*60)-((((H24*1440)-105)^1.6))/2)/86400),"",((((H24*1440)-105)*60)-((((H24*1440)-105)^1.6))/2)/86400),"")</f>
        <v/>
      </c>
      <c r="O24" s="100" t="str">
        <f>IF(FacingSheet!$B$11=100,IF(ISERROR(((((H24*1440)-230)*60)-((((H24*1440)-230)^1.6))/4)/86400),"",((((H24*1440)-230)*60)-((((H24*1440)-230)^1.6))/4)/86400),"")</f>
        <v/>
      </c>
      <c r="P24" s="108">
        <f>IF(FacingSheet!$B$11=10,J24,IF(FacingSheet!$B$11=15,K24,IF(FacingSheet!$B$11=25,L24,IF(FacingSheet!$B$11=30,M24,IF(FacingSheet!$B$11=50,N24,IF(FacingSheet!$B$11=100,O24,""))))))</f>
        <v>4.3008719332502396E-3</v>
      </c>
      <c r="Q24" s="65">
        <f>IF(OR(F24="V",F24="FV"),IF(I24="","",IF(MONTH(FacingSheet!$S$9)&gt;MONTH(I24),YEAR(FacingSheet!$S$9)-YEAR(I24),IF(AND(MONTH(FacingSheet!$S$9)=MONTH(I24),DAY(FacingSheet!$S$9)&gt;=DAY(I24)),YEAR(FacingSheet!$S$9)-YEAR(I24),(YEAR(FacingSheet!$S$9)-YEAR(I24))-1))),"")</f>
        <v>61</v>
      </c>
      <c r="R24" s="108">
        <f>IF(Q24="","",IF(FacingSheet!$B$11=10,VLOOKUP(Q24,Age,2,FALSE),IF(FacingSheet!$B$11=15,VLOOKUP(Q24,Age,3,FALSE),IF(FacingSheet!$B$11=25,VLOOKUP(Q24,Age,4,FALSE),IF(FacingSheet!$B$11=30,VLOOKUP(Q24,Age,5,FALSE),IF(FacingSheet!$B$11=50,VLOOKUP(Q24,Age,6,FALSE),IF(FacingSheet!$B$11=100,VLOOKUP(Q24,Age,7,FALSE),"")))))))</f>
        <v>1.9270833333333334E-2</v>
      </c>
      <c r="S24" s="108">
        <f>IF(Q24="","",IF(FacingSheet!$B$11=10,VLOOKUP(Q24,AgeF,2,FALSE),IF(FacingSheet!$B$11=15,VLOOKUP(Q24,AgeF,3,FALSE),IF(FacingSheet!$B$11=25,VLOOKUP(Q24,AgeF,4,FALSE),IF(FacingSheet!$B$11=30,VLOOKUP(Q24,AgeF,5,FALSE),IF(FacingSheet!$B$11=50,VLOOKUP(Q24,AgeF,6,FALSE),IF(FacingSheet!$B$11=100,VLOOKUP(Q24,AgeF,7,FALSE),"")))))))</f>
        <v>2.0937500000000001E-2</v>
      </c>
      <c r="T24" s="108">
        <f t="shared" si="1"/>
        <v>1.9270833333333334E-2</v>
      </c>
      <c r="U24" s="29"/>
      <c r="V24" s="29"/>
      <c r="W24" s="29"/>
      <c r="X24" s="132"/>
      <c r="Y24" s="132"/>
      <c r="Z24" s="132"/>
    </row>
    <row r="25" spans="1:26">
      <c r="A25" s="36">
        <v>44</v>
      </c>
      <c r="B25" s="133" t="str">
        <f>"Robert"</f>
        <v>Robert</v>
      </c>
      <c r="C25" s="133" t="str">
        <f>"Cowie"</f>
        <v>Cowie</v>
      </c>
      <c r="D25" s="1" t="str">
        <f t="shared" si="0"/>
        <v>Robert Cowie</v>
      </c>
      <c r="E25" s="29" t="str">
        <f>"Aberdeen Wheelers Cycling Club"</f>
        <v>Aberdeen Wheelers Cycling Club</v>
      </c>
      <c r="F25" s="29" t="s">
        <v>57</v>
      </c>
      <c r="G25" s="29" t="str">
        <f>"436318"</f>
        <v>436318</v>
      </c>
      <c r="H25" s="193">
        <v>1.6041666666666666E-2</v>
      </c>
      <c r="I25" s="131" t="str">
        <f>"30/04/1958"</f>
        <v>30/04/1958</v>
      </c>
      <c r="J25" s="100">
        <f>IF(FacingSheet!$B$11=10,IF(ISERROR(((((H25*1440)-20)*60)-(((H25*1440)-20)^1.6)*2.5)/86400),"",((((H25*1440)-20)*60)-(((H25*1440)-20)^1.6)*2.5)/86400),"")</f>
        <v>1.9759278135402822E-3</v>
      </c>
      <c r="K25" s="100" t="str">
        <f>IF(FacingSheet!$B$11=15,IF(ISERROR(((((H25*1440)-33)*60)-(((H25*1440)-33)^1.6)*1.667)/86400),"",((((H25*1440)-33)*60)-(((H25*1440)-33)^1.6)*1.667)/86400),"")</f>
        <v/>
      </c>
      <c r="L25" s="100" t="str">
        <f>IF(FacingSheet!$B$11=25,IF(ISERROR(((((H25*1440)-50)*60)-(((H25*1440)-50)^1.6))/86400),"",((((H25*1440)-50)*60)-(((H25*1440)-50)^1.6))/86400),"")</f>
        <v/>
      </c>
      <c r="M25" s="100" t="str">
        <f>IF(FacingSheet!$B$11=30,IF(ISERROR(((((H25*1440)-60)*60)-((((H25*1440)-60)^1.6))/1.2)/86400),"",((((H25*1440)-60)*60)-((((H25*1440)-60)^1.6))/1.2)/86400),"")</f>
        <v/>
      </c>
      <c r="N25" s="100" t="str">
        <f>IF(FacingSheet!$B$11=50,IF(ISERROR(((((H25*1440)-105)*60)-((((H25*1440)-105)^1.6))/2)/86400),"",((((H25*1440)-105)*60)-((((H25*1440)-105)^1.6))/2)/86400),"")</f>
        <v/>
      </c>
      <c r="O25" s="100" t="str">
        <f>IF(FacingSheet!$B$11=100,IF(ISERROR(((((H25*1440)-230)*60)-((((H25*1440)-230)^1.6))/4)/86400),"",((((H25*1440)-230)*60)-((((H25*1440)-230)^1.6))/4)/86400),"")</f>
        <v/>
      </c>
      <c r="P25" s="108">
        <f>IF(FacingSheet!$B$11=10,J25,IF(FacingSheet!$B$11=15,K25,IF(FacingSheet!$B$11=25,L25,IF(FacingSheet!$B$11=30,M25,IF(FacingSheet!$B$11=50,N25,IF(FacingSheet!$B$11=100,O25,""))))))</f>
        <v>1.9759278135402822E-3</v>
      </c>
      <c r="Q25" s="65">
        <f>IF(OR(F25="V",F25="FV"),IF(I25="","",IF(MONTH(FacingSheet!$S$9)&gt;MONTH(I25),YEAR(FacingSheet!$S$9)-YEAR(I25),IF(AND(MONTH(FacingSheet!$S$9)=MONTH(I25),DAY(FacingSheet!$S$9)&gt;=DAY(I25)),YEAR(FacingSheet!$S$9)-YEAR(I25),(YEAR(FacingSheet!$S$9)-YEAR(I25))-1))),"")</f>
        <v>67</v>
      </c>
      <c r="R25" s="108">
        <f>IF(Q25="","",IF(FacingSheet!$B$11=10,VLOOKUP(Q25,Age,2,FALSE),IF(FacingSheet!$B$11=15,VLOOKUP(Q25,Age,3,FALSE),IF(FacingSheet!$B$11=25,VLOOKUP(Q25,Age,4,FALSE),IF(FacingSheet!$B$11=30,VLOOKUP(Q25,Age,5,FALSE),IF(FacingSheet!$B$11=50,VLOOKUP(Q25,Age,6,FALSE),IF(FacingSheet!$B$11=100,VLOOKUP(Q25,Age,7,FALSE),"")))))))</f>
        <v>1.9791666666666666E-2</v>
      </c>
      <c r="S25" s="108">
        <f>IF(Q25="","",IF(FacingSheet!$B$11=10,VLOOKUP(Q25,AgeF,2,FALSE),IF(FacingSheet!$B$11=15,VLOOKUP(Q25,AgeF,3,FALSE),IF(FacingSheet!$B$11=25,VLOOKUP(Q25,AgeF,4,FALSE),IF(FacingSheet!$B$11=30,VLOOKUP(Q25,AgeF,5,FALSE),IF(FacingSheet!$B$11=50,VLOOKUP(Q25,AgeF,6,FALSE),IF(FacingSheet!$B$11=100,VLOOKUP(Q25,AgeF,7,FALSE),"")))))))</f>
        <v>2.150462962962963E-2</v>
      </c>
      <c r="T25" s="108">
        <f t="shared" si="1"/>
        <v>1.9791666666666666E-2</v>
      </c>
      <c r="U25" s="29"/>
      <c r="V25" s="29"/>
      <c r="W25" s="29"/>
      <c r="X25" s="132"/>
      <c r="Y25" s="132"/>
      <c r="Z25" s="132"/>
    </row>
    <row r="26" spans="1:26">
      <c r="A26" s="36">
        <v>72</v>
      </c>
      <c r="B26" s="133" t="str">
        <f>"Dean"</f>
        <v>Dean</v>
      </c>
      <c r="C26" s="133" t="str">
        <f>"Cunningham"</f>
        <v>Cunningham</v>
      </c>
      <c r="D26" s="1" t="str">
        <f t="shared" si="0"/>
        <v>Dean Cunningham</v>
      </c>
      <c r="E26" s="29" t="str">
        <f>"Torvelo Racing"</f>
        <v>Torvelo Racing</v>
      </c>
      <c r="F26" s="29" t="s">
        <v>58</v>
      </c>
      <c r="G26" s="29" t="str">
        <f>"1175717"</f>
        <v>1175717</v>
      </c>
      <c r="H26" s="99">
        <v>1.4722222222222222E-2</v>
      </c>
      <c r="I26" s="131" t="str">
        <f>"21/02/1988"</f>
        <v>21/02/1988</v>
      </c>
      <c r="J26" s="100">
        <f>IF(FacingSheet!$B$11=10,IF(ISERROR(((((H26*1440)-20)*60)-(((H26*1440)-20)^1.6)*2.5)/86400),"",((((H26*1440)-20)*60)-(((H26*1440)-20)^1.6)*2.5)/86400),"")</f>
        <v>7.9459720063438061E-4</v>
      </c>
      <c r="K26" s="100" t="str">
        <f>IF(FacingSheet!$B$11=15,IF(ISERROR(((((H26*1440)-33)*60)-(((H26*1440)-33)^1.6)*1.667)/86400),"",((((H26*1440)-33)*60)-(((H26*1440)-33)^1.6)*1.667)/86400),"")</f>
        <v/>
      </c>
      <c r="L26" s="100" t="str">
        <f>IF(FacingSheet!$B$11=25,IF(ISERROR(((((H26*1440)-50)*60)-(((H26*1440)-50)^1.6))/86400),"",((((H26*1440)-50)*60)-(((H26*1440)-50)^1.6))/86400),"")</f>
        <v/>
      </c>
      <c r="M26" s="100" t="str">
        <f>IF(FacingSheet!$B$11=30,IF(ISERROR(((((H26*1440)-60)*60)-((((H26*1440)-60)^1.6))/1.2)/86400),"",((((H26*1440)-60)*60)-((((H26*1440)-60)^1.6))/1.2)/86400),"")</f>
        <v/>
      </c>
      <c r="N26" s="100" t="str">
        <f>IF(FacingSheet!$B$11=50,IF(ISERROR(((((H26*1440)-105)*60)-((((H26*1440)-105)^1.6))/2)/86400),"",((((H26*1440)-105)*60)-((((H26*1440)-105)^1.6))/2)/86400),"")</f>
        <v/>
      </c>
      <c r="O26" s="100" t="str">
        <f>IF(FacingSheet!$B$11=100,IF(ISERROR(((((H26*1440)-230)*60)-((((H26*1440)-230)^1.6))/4)/86400),"",((((H26*1440)-230)*60)-((((H26*1440)-230)^1.6))/4)/86400),"")</f>
        <v/>
      </c>
      <c r="P26" s="108">
        <f>IF(FacingSheet!$B$11=10,J26,IF(FacingSheet!$B$11=15,K26,IF(FacingSheet!$B$11=25,L26,IF(FacingSheet!$B$11=30,M26,IF(FacingSheet!$B$11=50,N26,IF(FacingSheet!$B$11=100,O26,""))))))</f>
        <v>7.9459720063438061E-4</v>
      </c>
      <c r="Q26" s="65" t="str">
        <f>IF(OR(F26="V",F26="FV"),IF(I26="","",IF(MONTH(FacingSheet!$S$9)&gt;MONTH(I26),YEAR(FacingSheet!$S$9)-YEAR(I26),IF(AND(MONTH(FacingSheet!$S$9)=MONTH(I26),DAY(FacingSheet!$S$9)&gt;=DAY(I26)),YEAR(FacingSheet!$S$9)-YEAR(I26),(YEAR(FacingSheet!$S$9)-YEAR(I26))-1))),"")</f>
        <v/>
      </c>
      <c r="R26" s="108" t="str">
        <f>IF(Q26="","",IF(FacingSheet!$B$11=10,VLOOKUP(Q26,Age,2,FALSE),IF(FacingSheet!$B$11=15,VLOOKUP(Q26,Age,3,FALSE),IF(FacingSheet!$B$11=25,VLOOKUP(Q26,Age,4,FALSE),IF(FacingSheet!$B$11=30,VLOOKUP(Q26,Age,5,FALSE),IF(FacingSheet!$B$11=50,VLOOKUP(Q26,Age,6,FALSE),IF(FacingSheet!$B$11=100,VLOOKUP(Q26,Age,7,FALSE),"")))))))</f>
        <v/>
      </c>
      <c r="S26" s="108" t="str">
        <f>IF(Q26="","",IF(FacingSheet!$B$11=10,VLOOKUP(Q26,AgeF,2,FALSE),IF(FacingSheet!$B$11=15,VLOOKUP(Q26,AgeF,3,FALSE),IF(FacingSheet!$B$11=25,VLOOKUP(Q26,AgeF,4,FALSE),IF(FacingSheet!$B$11=30,VLOOKUP(Q26,AgeF,5,FALSE),IF(FacingSheet!$B$11=50,VLOOKUP(Q26,AgeF,6,FALSE),IF(FacingSheet!$B$11=100,VLOOKUP(Q26,AgeF,7,FALSE),"")))))))</f>
        <v/>
      </c>
      <c r="T26" s="108" t="str">
        <f t="shared" si="1"/>
        <v/>
      </c>
      <c r="U26" s="29"/>
      <c r="V26" s="29"/>
      <c r="W26" s="29"/>
      <c r="X26" s="132"/>
      <c r="Y26" s="132"/>
      <c r="Z26" s="132"/>
    </row>
    <row r="27" spans="1:26">
      <c r="A27" s="36">
        <v>48</v>
      </c>
      <c r="B27" s="133" t="str">
        <f>"Eric"</f>
        <v>Eric</v>
      </c>
      <c r="C27" s="133" t="str">
        <f>"Davidson"</f>
        <v>Davidson</v>
      </c>
      <c r="D27" s="1" t="str">
        <f t="shared" si="0"/>
        <v>Eric Davidson</v>
      </c>
      <c r="E27" s="29" t="str">
        <f>"Moray Firth Cycling Club"</f>
        <v>Moray Firth Cycling Club</v>
      </c>
      <c r="F27" s="29" t="s">
        <v>57</v>
      </c>
      <c r="G27" s="29" t="str">
        <f>"833828"</f>
        <v>833828</v>
      </c>
      <c r="H27" s="99">
        <v>1.6041666666666666E-2</v>
      </c>
      <c r="I27" s="131" t="str">
        <f>"17/03/1977"</f>
        <v>17/03/1977</v>
      </c>
      <c r="J27" s="100">
        <f>IF(FacingSheet!$B$11=10,IF(ISERROR(((((H27*1440)-20)*60)-(((H27*1440)-20)^1.6)*2.5)/86400),"",((((H27*1440)-20)*60)-(((H27*1440)-20)^1.6)*2.5)/86400),"")</f>
        <v>1.9759278135402822E-3</v>
      </c>
      <c r="K27" s="100" t="str">
        <f>IF(FacingSheet!$B$11=15,IF(ISERROR(((((H27*1440)-33)*60)-(((H27*1440)-33)^1.6)*1.667)/86400),"",((((H27*1440)-33)*60)-(((H27*1440)-33)^1.6)*1.667)/86400),"")</f>
        <v/>
      </c>
      <c r="L27" s="100" t="str">
        <f>IF(FacingSheet!$B$11=25,IF(ISERROR(((((H27*1440)-50)*60)-(((H27*1440)-50)^1.6))/86400),"",((((H27*1440)-50)*60)-(((H27*1440)-50)^1.6))/86400),"")</f>
        <v/>
      </c>
      <c r="M27" s="100" t="str">
        <f>IF(FacingSheet!$B$11=30,IF(ISERROR(((((H27*1440)-60)*60)-((((H27*1440)-60)^1.6))/1.2)/86400),"",((((H27*1440)-60)*60)-((((H27*1440)-60)^1.6))/1.2)/86400),"")</f>
        <v/>
      </c>
      <c r="N27" s="100" t="str">
        <f>IF(FacingSheet!$B$11=50,IF(ISERROR(((((H27*1440)-105)*60)-((((H27*1440)-105)^1.6))/2)/86400),"",((((H27*1440)-105)*60)-((((H27*1440)-105)^1.6))/2)/86400),"")</f>
        <v/>
      </c>
      <c r="O27" s="100" t="str">
        <f>IF(FacingSheet!$B$11=100,IF(ISERROR(((((H27*1440)-230)*60)-((((H27*1440)-230)^1.6))/4)/86400),"",((((H27*1440)-230)*60)-((((H27*1440)-230)^1.6))/4)/86400),"")</f>
        <v/>
      </c>
      <c r="P27" s="108">
        <f>IF(FacingSheet!$B$11=10,J27,IF(FacingSheet!$B$11=15,K27,IF(FacingSheet!$B$11=25,L27,IF(FacingSheet!$B$11=30,M27,IF(FacingSheet!$B$11=50,N27,IF(FacingSheet!$B$11=100,O27,""))))))</f>
        <v>1.9759278135402822E-3</v>
      </c>
      <c r="Q27" s="65">
        <f>IF(OR(F27="V",F27="FV"),IF(I27="","",IF(MONTH(FacingSheet!$S$9)&gt;MONTH(I27),YEAR(FacingSheet!$S$9)-YEAR(I27),IF(AND(MONTH(FacingSheet!$S$9)=MONTH(I27),DAY(FacingSheet!$S$9)&gt;=DAY(I27)),YEAR(FacingSheet!$S$9)-YEAR(I27),(YEAR(FacingSheet!$S$9)-YEAR(I27))-1))),"")</f>
        <v>48</v>
      </c>
      <c r="R27" s="108">
        <f>IF(Q27="","",IF(FacingSheet!$B$11=10,VLOOKUP(Q27,Age,2,FALSE),IF(FacingSheet!$B$11=15,VLOOKUP(Q27,Age,3,FALSE),IF(FacingSheet!$B$11=25,VLOOKUP(Q27,Age,4,FALSE),IF(FacingSheet!$B$11=30,VLOOKUP(Q27,Age,5,FALSE),IF(FacingSheet!$B$11=50,VLOOKUP(Q27,Age,6,FALSE),IF(FacingSheet!$B$11=100,VLOOKUP(Q27,Age,7,FALSE),"")))))))</f>
        <v>1.8518518518518517E-2</v>
      </c>
      <c r="S27" s="108">
        <f>IF(Q27="","",IF(FacingSheet!$B$11=10,VLOOKUP(Q27,AgeF,2,FALSE),IF(FacingSheet!$B$11=15,VLOOKUP(Q27,AgeF,3,FALSE),IF(FacingSheet!$B$11=25,VLOOKUP(Q27,AgeF,4,FALSE),IF(FacingSheet!$B$11=30,VLOOKUP(Q27,AgeF,5,FALSE),IF(FacingSheet!$B$11=50,VLOOKUP(Q27,AgeF,6,FALSE),IF(FacingSheet!$B$11=100,VLOOKUP(Q27,AgeF,7,FALSE),"")))))))</f>
        <v>2.0092592592592592E-2</v>
      </c>
      <c r="T27" s="108">
        <f t="shared" si="1"/>
        <v>1.8518518518518517E-2</v>
      </c>
      <c r="U27" s="29"/>
      <c r="V27" s="29"/>
      <c r="W27" s="29"/>
      <c r="X27" s="132"/>
      <c r="Y27" s="132"/>
      <c r="Z27" s="132"/>
    </row>
    <row r="28" spans="1:26">
      <c r="A28" s="36">
        <v>66</v>
      </c>
      <c r="B28" s="133" t="str">
        <f>"Scott"</f>
        <v>Scott</v>
      </c>
      <c r="C28" s="133" t="str">
        <f>"Davidson"</f>
        <v>Davidson</v>
      </c>
      <c r="D28" s="1" t="str">
        <f t="shared" si="0"/>
        <v>Scott Davidson</v>
      </c>
      <c r="E28" s="29" t="str">
        <f>"Moray Firth Cycling Club"</f>
        <v>Moray Firth Cycling Club</v>
      </c>
      <c r="F28" s="29" t="s">
        <v>58</v>
      </c>
      <c r="G28" s="29" t="str">
        <f>"1346317"</f>
        <v>1346317</v>
      </c>
      <c r="H28" s="99">
        <v>1.4861111111111111E-2</v>
      </c>
      <c r="I28" s="131" t="str">
        <f>"30/06/1992"</f>
        <v>30/06/1992</v>
      </c>
      <c r="J28" s="100">
        <f>IF(FacingSheet!$B$11=10,IF(ISERROR(((((H28*1440)-20)*60)-(((H28*1440)-20)^1.6)*2.5)/86400),"",((((H28*1440)-20)*60)-(((H28*1440)-20)^1.6)*2.5)/86400),"")</f>
        <v>9.2265082920595489E-4</v>
      </c>
      <c r="K28" s="100" t="str">
        <f>IF(FacingSheet!$B$11=15,IF(ISERROR(((((H28*1440)-33)*60)-(((H28*1440)-33)^1.6)*1.667)/86400),"",((((H28*1440)-33)*60)-(((H28*1440)-33)^1.6)*1.667)/86400),"")</f>
        <v/>
      </c>
      <c r="L28" s="100" t="str">
        <f>IF(FacingSheet!$B$11=25,IF(ISERROR(((((H28*1440)-50)*60)-(((H28*1440)-50)^1.6))/86400),"",((((H28*1440)-50)*60)-(((H28*1440)-50)^1.6))/86400),"")</f>
        <v/>
      </c>
      <c r="M28" s="100" t="str">
        <f>IF(FacingSheet!$B$11=30,IF(ISERROR(((((H28*1440)-60)*60)-((((H28*1440)-60)^1.6))/1.2)/86400),"",((((H28*1440)-60)*60)-((((H28*1440)-60)^1.6))/1.2)/86400),"")</f>
        <v/>
      </c>
      <c r="N28" s="100" t="str">
        <f>IF(FacingSheet!$B$11=50,IF(ISERROR(((((H28*1440)-105)*60)-((((H28*1440)-105)^1.6))/2)/86400),"",((((H28*1440)-105)*60)-((((H28*1440)-105)^1.6))/2)/86400),"")</f>
        <v/>
      </c>
      <c r="O28" s="100" t="str">
        <f>IF(FacingSheet!$B$11=100,IF(ISERROR(((((H28*1440)-230)*60)-((((H28*1440)-230)^1.6))/4)/86400),"",((((H28*1440)-230)*60)-((((H28*1440)-230)^1.6))/4)/86400),"")</f>
        <v/>
      </c>
      <c r="P28" s="108">
        <f>IF(FacingSheet!$B$11=10,J28,IF(FacingSheet!$B$11=15,K28,IF(FacingSheet!$B$11=25,L28,IF(FacingSheet!$B$11=30,M28,IF(FacingSheet!$B$11=50,N28,IF(FacingSheet!$B$11=100,O28,""))))))</f>
        <v>9.2265082920595489E-4</v>
      </c>
      <c r="Q28" s="65" t="str">
        <f>IF(OR(F28="V",F28="FV"),IF(I28="","",IF(MONTH(FacingSheet!$S$9)&gt;MONTH(I28),YEAR(FacingSheet!$S$9)-YEAR(I28),IF(AND(MONTH(FacingSheet!$S$9)=MONTH(I28),DAY(FacingSheet!$S$9)&gt;=DAY(I28)),YEAR(FacingSheet!$S$9)-YEAR(I28),(YEAR(FacingSheet!$S$9)-YEAR(I28))-1))),"")</f>
        <v/>
      </c>
      <c r="R28" s="108" t="str">
        <f>IF(Q28="","",IF(FacingSheet!$B$11=10,VLOOKUP(Q28,Age,2,FALSE),IF(FacingSheet!$B$11=15,VLOOKUP(Q28,Age,3,FALSE),IF(FacingSheet!$B$11=25,VLOOKUP(Q28,Age,4,FALSE),IF(FacingSheet!$B$11=30,VLOOKUP(Q28,Age,5,FALSE),IF(FacingSheet!$B$11=50,VLOOKUP(Q28,Age,6,FALSE),IF(FacingSheet!$B$11=100,VLOOKUP(Q28,Age,7,FALSE),"")))))))</f>
        <v/>
      </c>
      <c r="S28" s="108" t="str">
        <f>IF(Q28="","",IF(FacingSheet!$B$11=10,VLOOKUP(Q28,AgeF,2,FALSE),IF(FacingSheet!$B$11=15,VLOOKUP(Q28,AgeF,3,FALSE),IF(FacingSheet!$B$11=25,VLOOKUP(Q28,AgeF,4,FALSE),IF(FacingSheet!$B$11=30,VLOOKUP(Q28,AgeF,5,FALSE),IF(FacingSheet!$B$11=50,VLOOKUP(Q28,AgeF,6,FALSE),IF(FacingSheet!$B$11=100,VLOOKUP(Q28,AgeF,7,FALSE),"")))))))</f>
        <v/>
      </c>
      <c r="T28" s="108" t="str">
        <f t="shared" si="1"/>
        <v/>
      </c>
      <c r="U28" s="29"/>
      <c r="V28" s="29"/>
      <c r="W28" s="29"/>
      <c r="X28" s="132"/>
      <c r="Y28" s="132"/>
      <c r="Z28" s="132"/>
    </row>
    <row r="29" spans="1:26">
      <c r="A29" s="36">
        <v>54</v>
      </c>
      <c r="B29" s="133" t="str">
        <f>"Callum"</f>
        <v>Callum</v>
      </c>
      <c r="C29" s="133" t="str">
        <f>"Deboys"</f>
        <v>Deboys</v>
      </c>
      <c r="D29" s="1" t="str">
        <f t="shared" si="0"/>
        <v>Callum Deboys</v>
      </c>
      <c r="E29" s="29" t="str">
        <f>"GTR - Return To Life"</f>
        <v>GTR - Return To Life</v>
      </c>
      <c r="F29" s="29" t="s">
        <v>58</v>
      </c>
      <c r="G29" s="29" t="str">
        <f>"1774761"</f>
        <v>1774761</v>
      </c>
      <c r="H29" s="99">
        <v>1.6655092592592593E-2</v>
      </c>
      <c r="I29" s="131" t="str">
        <f>"13/05/1996"</f>
        <v>13/05/1996</v>
      </c>
      <c r="J29" s="100">
        <f>IF(FacingSheet!$B$11=10,IF(ISERROR(((((H29*1440)-20)*60)-(((H29*1440)-20)^1.6)*2.5)/86400),"",((((H29*1440)-20)*60)-(((H29*1440)-20)^1.6)*2.5)/86400),"")</f>
        <v>2.5020717722741138E-3</v>
      </c>
      <c r="K29" s="100" t="str">
        <f>IF(FacingSheet!$B$11=15,IF(ISERROR(((((H29*1440)-33)*60)-(((H29*1440)-33)^1.6)*1.667)/86400),"",((((H29*1440)-33)*60)-(((H29*1440)-33)^1.6)*1.667)/86400),"")</f>
        <v/>
      </c>
      <c r="L29" s="100" t="str">
        <f>IF(FacingSheet!$B$11=25,IF(ISERROR(((((H29*1440)-50)*60)-(((H29*1440)-50)^1.6))/86400),"",((((H29*1440)-50)*60)-(((H29*1440)-50)^1.6))/86400),"")</f>
        <v/>
      </c>
      <c r="M29" s="100" t="str">
        <f>IF(FacingSheet!$B$11=30,IF(ISERROR(((((H29*1440)-60)*60)-((((H29*1440)-60)^1.6))/1.2)/86400),"",((((H29*1440)-60)*60)-((((H29*1440)-60)^1.6))/1.2)/86400),"")</f>
        <v/>
      </c>
      <c r="N29" s="100" t="str">
        <f>IF(FacingSheet!$B$11=50,IF(ISERROR(((((H29*1440)-105)*60)-((((H29*1440)-105)^1.6))/2)/86400),"",((((H29*1440)-105)*60)-((((H29*1440)-105)^1.6))/2)/86400),"")</f>
        <v/>
      </c>
      <c r="O29" s="100" t="str">
        <f>IF(FacingSheet!$B$11=100,IF(ISERROR(((((H29*1440)-230)*60)-((((H29*1440)-230)^1.6))/4)/86400),"",((((H29*1440)-230)*60)-((((H29*1440)-230)^1.6))/4)/86400),"")</f>
        <v/>
      </c>
      <c r="P29" s="108">
        <f>IF(FacingSheet!$B$11=10,J29,IF(FacingSheet!$B$11=15,K29,IF(FacingSheet!$B$11=25,L29,IF(FacingSheet!$B$11=30,M29,IF(FacingSheet!$B$11=50,N29,IF(FacingSheet!$B$11=100,O29,""))))))</f>
        <v>2.5020717722741138E-3</v>
      </c>
      <c r="Q29" s="65" t="str">
        <f>IF(OR(F29="V",F29="FV"),IF(I29="","",IF(MONTH(FacingSheet!$S$9)&gt;MONTH(I29),YEAR(FacingSheet!$S$9)-YEAR(I29),IF(AND(MONTH(FacingSheet!$S$9)=MONTH(I29),DAY(FacingSheet!$S$9)&gt;=DAY(I29)),YEAR(FacingSheet!$S$9)-YEAR(I29),(YEAR(FacingSheet!$S$9)-YEAR(I29))-1))),"")</f>
        <v/>
      </c>
      <c r="R29" s="108" t="str">
        <f>IF(Q29="","",IF(FacingSheet!$B$11=10,VLOOKUP(Q29,Age,2,FALSE),IF(FacingSheet!$B$11=15,VLOOKUP(Q29,Age,3,FALSE),IF(FacingSheet!$B$11=25,VLOOKUP(Q29,Age,4,FALSE),IF(FacingSheet!$B$11=30,VLOOKUP(Q29,Age,5,FALSE),IF(FacingSheet!$B$11=50,VLOOKUP(Q29,Age,6,FALSE),IF(FacingSheet!$B$11=100,VLOOKUP(Q29,Age,7,FALSE),"")))))))</f>
        <v/>
      </c>
      <c r="S29" s="108" t="str">
        <f>IF(Q29="","",IF(FacingSheet!$B$11=10,VLOOKUP(Q29,AgeF,2,FALSE),IF(FacingSheet!$B$11=15,VLOOKUP(Q29,AgeF,3,FALSE),IF(FacingSheet!$B$11=25,VLOOKUP(Q29,AgeF,4,FALSE),IF(FacingSheet!$B$11=30,VLOOKUP(Q29,AgeF,5,FALSE),IF(FacingSheet!$B$11=50,VLOOKUP(Q29,AgeF,6,FALSE),IF(FacingSheet!$B$11=100,VLOOKUP(Q29,AgeF,7,FALSE),"")))))))</f>
        <v/>
      </c>
      <c r="T29" s="108" t="str">
        <f t="shared" si="1"/>
        <v/>
      </c>
      <c r="U29" s="29"/>
      <c r="V29" s="29"/>
      <c r="W29" s="29"/>
      <c r="X29" s="132"/>
      <c r="Y29" s="132"/>
      <c r="Z29" s="132"/>
    </row>
    <row r="30" spans="1:26">
      <c r="A30" s="36">
        <v>25</v>
      </c>
      <c r="B30" s="133" t="str">
        <f>"Lewis"</f>
        <v>Lewis</v>
      </c>
      <c r="C30" s="133" t="str">
        <f>"Dey"</f>
        <v>Dey</v>
      </c>
      <c r="D30" s="1" t="str">
        <f t="shared" si="0"/>
        <v>Lewis Dey</v>
      </c>
      <c r="E30" s="29" t="str">
        <f>"RT23"</f>
        <v>RT23</v>
      </c>
      <c r="F30" s="29" t="s">
        <v>58</v>
      </c>
      <c r="G30" s="29" t="str">
        <f>"1446647"</f>
        <v>1446647</v>
      </c>
      <c r="H30" s="193">
        <v>1.4386574074074074E-2</v>
      </c>
      <c r="I30" s="131" t="str">
        <f>"18/07/2005"</f>
        <v>18/07/2005</v>
      </c>
      <c r="J30" s="100">
        <f>IF(FacingSheet!$B$11=10,IF(ISERROR(((((H30*1440)-20)*60)-(((H30*1440)-20)^1.6)*2.5)/86400),"",((((H30*1440)-20)*60)-(((H30*1440)-20)^1.6)*2.5)/86400),"")</f>
        <v>4.8070533733010298E-4</v>
      </c>
      <c r="K30" s="100" t="str">
        <f>IF(FacingSheet!$B$11=15,IF(ISERROR(((((H30*1440)-33)*60)-(((H30*1440)-33)^1.6)*1.667)/86400),"",((((H30*1440)-33)*60)-(((H30*1440)-33)^1.6)*1.667)/86400),"")</f>
        <v/>
      </c>
      <c r="L30" s="100" t="str">
        <f>IF(FacingSheet!$B$11=25,IF(ISERROR(((((H30*1440)-50)*60)-(((H30*1440)-50)^1.6))/86400),"",((((H30*1440)-50)*60)-(((H30*1440)-50)^1.6))/86400),"")</f>
        <v/>
      </c>
      <c r="M30" s="100" t="str">
        <f>IF(FacingSheet!$B$11=30,IF(ISERROR(((((H30*1440)-60)*60)-((((H30*1440)-60)^1.6))/1.2)/86400),"",((((H30*1440)-60)*60)-((((H30*1440)-60)^1.6))/1.2)/86400),"")</f>
        <v/>
      </c>
      <c r="N30" s="100" t="str">
        <f>IF(FacingSheet!$B$11=50,IF(ISERROR(((((H30*1440)-105)*60)-((((H30*1440)-105)^1.6))/2)/86400),"",((((H30*1440)-105)*60)-((((H30*1440)-105)^1.6))/2)/86400),"")</f>
        <v/>
      </c>
      <c r="O30" s="100" t="str">
        <f>IF(FacingSheet!$B$11=100,IF(ISERROR(((((H30*1440)-230)*60)-((((H30*1440)-230)^1.6))/4)/86400),"",((((H30*1440)-230)*60)-((((H30*1440)-230)^1.6))/4)/86400),"")</f>
        <v/>
      </c>
      <c r="P30" s="108">
        <f>IF(FacingSheet!$B$11=10,J30,IF(FacingSheet!$B$11=15,K30,IF(FacingSheet!$B$11=25,L30,IF(FacingSheet!$B$11=30,M30,IF(FacingSheet!$B$11=50,N30,IF(FacingSheet!$B$11=100,O30,""))))))</f>
        <v>4.8070533733010298E-4</v>
      </c>
      <c r="Q30" s="65" t="str">
        <f>IF(OR(F30="V",F30="FV"),IF(I30="","",IF(MONTH(FacingSheet!$S$9)&gt;MONTH(I30),YEAR(FacingSheet!$S$9)-YEAR(I30),IF(AND(MONTH(FacingSheet!$S$9)=MONTH(I30),DAY(FacingSheet!$S$9)&gt;=DAY(I30)),YEAR(FacingSheet!$S$9)-YEAR(I30),(YEAR(FacingSheet!$S$9)-YEAR(I30))-1))),"")</f>
        <v/>
      </c>
      <c r="R30" s="108" t="str">
        <f>IF(Q30="","",IF(FacingSheet!$B$11=10,VLOOKUP(Q30,Age,2,FALSE),IF(FacingSheet!$B$11=15,VLOOKUP(Q30,Age,3,FALSE),IF(FacingSheet!$B$11=25,VLOOKUP(Q30,Age,4,FALSE),IF(FacingSheet!$B$11=30,VLOOKUP(Q30,Age,5,FALSE),IF(FacingSheet!$B$11=50,VLOOKUP(Q30,Age,6,FALSE),IF(FacingSheet!$B$11=100,VLOOKUP(Q30,Age,7,FALSE),"")))))))</f>
        <v/>
      </c>
      <c r="S30" s="108" t="str">
        <f>IF(Q30="","",IF(FacingSheet!$B$11=10,VLOOKUP(Q30,AgeF,2,FALSE),IF(FacingSheet!$B$11=15,VLOOKUP(Q30,AgeF,3,FALSE),IF(FacingSheet!$B$11=25,VLOOKUP(Q30,AgeF,4,FALSE),IF(FacingSheet!$B$11=30,VLOOKUP(Q30,AgeF,5,FALSE),IF(FacingSheet!$B$11=50,VLOOKUP(Q30,AgeF,6,FALSE),IF(FacingSheet!$B$11=100,VLOOKUP(Q30,AgeF,7,FALSE),"")))))))</f>
        <v/>
      </c>
      <c r="T30" s="108" t="str">
        <f t="shared" si="1"/>
        <v/>
      </c>
      <c r="U30" s="29"/>
      <c r="V30" s="29"/>
      <c r="W30" s="29"/>
      <c r="X30" s="132"/>
      <c r="Y30" s="132"/>
      <c r="Z30" s="132"/>
    </row>
    <row r="31" spans="1:26">
      <c r="A31" s="36">
        <v>68</v>
      </c>
      <c r="B31" s="133" t="str">
        <f>"Mark"</f>
        <v>Mark</v>
      </c>
      <c r="C31" s="133" t="str">
        <f>"Dryburgh"</f>
        <v>Dryburgh</v>
      </c>
      <c r="D31" s="1" t="str">
        <f t="shared" si="0"/>
        <v>Mark Dryburgh</v>
      </c>
      <c r="E31" s="29" t="str">
        <f>"Ross-Shire RCC"</f>
        <v>Ross-Shire RCC</v>
      </c>
      <c r="F31" s="29" t="s">
        <v>57</v>
      </c>
      <c r="G31" s="29" t="str">
        <f>"968561"</f>
        <v>968561</v>
      </c>
      <c r="H31" s="193">
        <v>1.4675925925925926E-2</v>
      </c>
      <c r="I31" s="131" t="str">
        <f>"19/04/1972"</f>
        <v>19/04/1972</v>
      </c>
      <c r="J31" s="100">
        <f>IF(FacingSheet!$B$11=10,IF(ISERROR(((((H31*1440)-20)*60)-(((H31*1440)-20)^1.6)*2.5)/86400),"",((((H31*1440)-20)*60)-(((H31*1440)-20)^1.6)*2.5)/86400),"")</f>
        <v>7.516862956892089E-4</v>
      </c>
      <c r="K31" s="100" t="str">
        <f>IF(FacingSheet!$B$11=15,IF(ISERROR(((((H31*1440)-33)*60)-(((H31*1440)-33)^1.6)*1.667)/86400),"",((((H31*1440)-33)*60)-(((H31*1440)-33)^1.6)*1.667)/86400),"")</f>
        <v/>
      </c>
      <c r="L31" s="100" t="str">
        <f>IF(FacingSheet!$B$11=25,IF(ISERROR(((((H31*1440)-50)*60)-(((H31*1440)-50)^1.6))/86400),"",((((H31*1440)-50)*60)-(((H31*1440)-50)^1.6))/86400),"")</f>
        <v/>
      </c>
      <c r="M31" s="100" t="str">
        <f>IF(FacingSheet!$B$11=30,IF(ISERROR(((((H31*1440)-60)*60)-((((H31*1440)-60)^1.6))/1.2)/86400),"",((((H31*1440)-60)*60)-((((H31*1440)-60)^1.6))/1.2)/86400),"")</f>
        <v/>
      </c>
      <c r="N31" s="100" t="str">
        <f>IF(FacingSheet!$B$11=50,IF(ISERROR(((((H31*1440)-105)*60)-((((H31*1440)-105)^1.6))/2)/86400),"",((((H31*1440)-105)*60)-((((H31*1440)-105)^1.6))/2)/86400),"")</f>
        <v/>
      </c>
      <c r="O31" s="100" t="str">
        <f>IF(FacingSheet!$B$11=100,IF(ISERROR(((((H31*1440)-230)*60)-((((H31*1440)-230)^1.6))/4)/86400),"",((((H31*1440)-230)*60)-((((H31*1440)-230)^1.6))/4)/86400),"")</f>
        <v/>
      </c>
      <c r="P31" s="108">
        <f>IF(FacingSheet!$B$11=10,J31,IF(FacingSheet!$B$11=15,K31,IF(FacingSheet!$B$11=25,L31,IF(FacingSheet!$B$11=30,M31,IF(FacingSheet!$B$11=50,N31,IF(FacingSheet!$B$11=100,O31,""))))))</f>
        <v>7.516862956892089E-4</v>
      </c>
      <c r="Q31" s="65">
        <f>IF(OR(F31="V",F31="FV"),IF(I31="","",IF(MONTH(FacingSheet!$S$9)&gt;MONTH(I31),YEAR(FacingSheet!$S$9)-YEAR(I31),IF(AND(MONTH(FacingSheet!$S$9)=MONTH(I31),DAY(FacingSheet!$S$9)&gt;=DAY(I31)),YEAR(FacingSheet!$S$9)-YEAR(I31),(YEAR(FacingSheet!$S$9)-YEAR(I31))-1))),"")</f>
        <v>53</v>
      </c>
      <c r="R31" s="108">
        <f>IF(Q31="","",IF(FacingSheet!$B$11=10,VLOOKUP(Q31,Age,2,FALSE),IF(FacingSheet!$B$11=15,VLOOKUP(Q31,Age,3,FALSE),IF(FacingSheet!$B$11=25,VLOOKUP(Q31,Age,4,FALSE),IF(FacingSheet!$B$11=30,VLOOKUP(Q31,Age,5,FALSE),IF(FacingSheet!$B$11=50,VLOOKUP(Q31,Age,6,FALSE),IF(FacingSheet!$B$11=100,VLOOKUP(Q31,Age,7,FALSE),"")))))))</f>
        <v>1.8784722222222223E-2</v>
      </c>
      <c r="S31" s="108">
        <f>IF(Q31="","",IF(FacingSheet!$B$11=10,VLOOKUP(Q31,AgeF,2,FALSE),IF(FacingSheet!$B$11=15,VLOOKUP(Q31,AgeF,3,FALSE),IF(FacingSheet!$B$11=25,VLOOKUP(Q31,AgeF,4,FALSE),IF(FacingSheet!$B$11=30,VLOOKUP(Q31,AgeF,5,FALSE),IF(FacingSheet!$B$11=50,VLOOKUP(Q31,AgeF,6,FALSE),IF(FacingSheet!$B$11=100,VLOOKUP(Q31,AgeF,7,FALSE),"")))))))</f>
        <v>2.0381944444444446E-2</v>
      </c>
      <c r="T31" s="108">
        <f t="shared" ref="T31:T94" si="2">IF(F31="V",R31,IF(F31="FV",S31,""))</f>
        <v>1.8784722222222223E-2</v>
      </c>
      <c r="U31" s="29"/>
      <c r="V31" s="29"/>
      <c r="W31" s="29"/>
      <c r="X31" s="132"/>
      <c r="Y31" s="132"/>
      <c r="Z31" s="132"/>
    </row>
    <row r="32" spans="1:26">
      <c r="A32" s="36">
        <v>58</v>
      </c>
      <c r="B32" s="133" t="str">
        <f>"Colin"</f>
        <v>Colin</v>
      </c>
      <c r="C32" s="133" t="str">
        <f>"Duncan"</f>
        <v>Duncan</v>
      </c>
      <c r="D32" s="1" t="str">
        <f t="shared" si="0"/>
        <v>Colin Duncan</v>
      </c>
      <c r="E32" s="29" t="str">
        <f>"Elgin CC"</f>
        <v>Elgin CC</v>
      </c>
      <c r="F32" s="29" t="s">
        <v>57</v>
      </c>
      <c r="G32" s="29" t="str">
        <f>"421685"</f>
        <v>421685</v>
      </c>
      <c r="H32" s="193">
        <v>1.5625E-2</v>
      </c>
      <c r="I32" s="131" t="str">
        <f>"18/02/1973"</f>
        <v>18/02/1973</v>
      </c>
      <c r="J32" s="100">
        <f>IF(FacingSheet!$B$11=10,IF(ISERROR(((((H32*1440)-20)*60)-(((H32*1440)-20)^1.6)*2.5)/86400),"",((((H32*1440)-20)*60)-(((H32*1440)-20)^1.6)*2.5)/86400),"")</f>
        <v>1.6107593961307966E-3</v>
      </c>
      <c r="K32" s="100" t="str">
        <f>IF(FacingSheet!$B$11=15,IF(ISERROR(((((H32*1440)-33)*60)-(((H32*1440)-33)^1.6)*1.667)/86400),"",((((H32*1440)-33)*60)-(((H32*1440)-33)^1.6)*1.667)/86400),"")</f>
        <v/>
      </c>
      <c r="L32" s="100" t="str">
        <f>IF(FacingSheet!$B$11=25,IF(ISERROR(((((H32*1440)-50)*60)-(((H32*1440)-50)^1.6))/86400),"",((((H32*1440)-50)*60)-(((H32*1440)-50)^1.6))/86400),"")</f>
        <v/>
      </c>
      <c r="M32" s="100" t="str">
        <f>IF(FacingSheet!$B$11=30,IF(ISERROR(((((H32*1440)-60)*60)-((((H32*1440)-60)^1.6))/1.2)/86400),"",((((H32*1440)-60)*60)-((((H32*1440)-60)^1.6))/1.2)/86400),"")</f>
        <v/>
      </c>
      <c r="N32" s="100" t="str">
        <f>IF(FacingSheet!$B$11=50,IF(ISERROR(((((H32*1440)-105)*60)-((((H32*1440)-105)^1.6))/2)/86400),"",((((H32*1440)-105)*60)-((((H32*1440)-105)^1.6))/2)/86400),"")</f>
        <v/>
      </c>
      <c r="O32" s="100" t="str">
        <f>IF(FacingSheet!$B$11=100,IF(ISERROR(((((H32*1440)-230)*60)-((((H32*1440)-230)^1.6))/4)/86400),"",((((H32*1440)-230)*60)-((((H32*1440)-230)^1.6))/4)/86400),"")</f>
        <v/>
      </c>
      <c r="P32" s="108">
        <f>IF(FacingSheet!$B$11=10,J32,IF(FacingSheet!$B$11=15,K32,IF(FacingSheet!$B$11=25,L32,IF(FacingSheet!$B$11=30,M32,IF(FacingSheet!$B$11=50,N32,IF(FacingSheet!$B$11=100,O32,""))))))</f>
        <v>1.6107593961307966E-3</v>
      </c>
      <c r="Q32" s="65">
        <f>IF(OR(F32="V",F32="FV"),IF(I32="","",IF(MONTH(FacingSheet!$S$9)&gt;MONTH(I32),YEAR(FacingSheet!$S$9)-YEAR(I32),IF(AND(MONTH(FacingSheet!$S$9)=MONTH(I32),DAY(FacingSheet!$S$9)&gt;=DAY(I32)),YEAR(FacingSheet!$S$9)-YEAR(I32),(YEAR(FacingSheet!$S$9)-YEAR(I32))-1))),"")</f>
        <v>52</v>
      </c>
      <c r="R32" s="108">
        <f>IF(Q32="","",IF(FacingSheet!$B$11=10,VLOOKUP(Q32,Age,2,FALSE),IF(FacingSheet!$B$11=15,VLOOKUP(Q32,Age,3,FALSE),IF(FacingSheet!$B$11=25,VLOOKUP(Q32,Age,4,FALSE),IF(FacingSheet!$B$11=30,VLOOKUP(Q32,Age,5,FALSE),IF(FacingSheet!$B$11=50,VLOOKUP(Q32,Age,6,FALSE),IF(FacingSheet!$B$11=100,VLOOKUP(Q32,Age,7,FALSE),"")))))))</f>
        <v>1.8726851851851852E-2</v>
      </c>
      <c r="S32" s="108">
        <f>IF(Q32="","",IF(FacingSheet!$B$11=10,VLOOKUP(Q32,AgeF,2,FALSE),IF(FacingSheet!$B$11=15,VLOOKUP(Q32,AgeF,3,FALSE),IF(FacingSheet!$B$11=25,VLOOKUP(Q32,AgeF,4,FALSE),IF(FacingSheet!$B$11=30,VLOOKUP(Q32,AgeF,5,FALSE),IF(FacingSheet!$B$11=50,VLOOKUP(Q32,AgeF,6,FALSE),IF(FacingSheet!$B$11=100,VLOOKUP(Q32,AgeF,7,FALSE),"")))))))</f>
        <v>2.0324074074074074E-2</v>
      </c>
      <c r="T32" s="108">
        <f t="shared" si="2"/>
        <v>1.8726851851851852E-2</v>
      </c>
      <c r="U32" s="29"/>
      <c r="V32" s="29"/>
      <c r="W32" s="29"/>
      <c r="X32" s="132"/>
      <c r="Y32" s="132"/>
      <c r="Z32" s="132"/>
    </row>
    <row r="33" spans="1:26">
      <c r="A33" s="36">
        <v>7</v>
      </c>
      <c r="B33" s="133" t="str">
        <f>"Jonathan"</f>
        <v>Jonathan</v>
      </c>
      <c r="C33" s="133" t="str">
        <f>"Forbes"</f>
        <v>Forbes</v>
      </c>
      <c r="D33" s="1" t="str">
        <f t="shared" si="0"/>
        <v>Jonathan Forbes</v>
      </c>
      <c r="E33" s="29" t="str">
        <f>"Ross-Shire RCC"</f>
        <v>Ross-Shire RCC</v>
      </c>
      <c r="F33" s="29" t="s">
        <v>58</v>
      </c>
      <c r="G33" s="29" t="str">
        <f>"1359206"</f>
        <v>1359206</v>
      </c>
      <c r="H33" s="193">
        <v>1.6064814814814816E-2</v>
      </c>
      <c r="I33" s="131" t="str">
        <f>"10/06/1987"</f>
        <v>10/06/1987</v>
      </c>
      <c r="J33" s="100">
        <f>IF(FacingSheet!$B$11=10,IF(ISERROR(((((H33*1440)-20)*60)-(((H33*1440)-20)^1.6)*2.5)/86400),"",((((H33*1440)-20)*60)-(((H33*1440)-20)^1.6)*2.5)/86400),"")</f>
        <v>1.9960235809029269E-3</v>
      </c>
      <c r="K33" s="100" t="str">
        <f>IF(FacingSheet!$B$11=15,IF(ISERROR(((((H33*1440)-33)*60)-(((H33*1440)-33)^1.6)*1.667)/86400),"",((((H33*1440)-33)*60)-(((H33*1440)-33)^1.6)*1.667)/86400),"")</f>
        <v/>
      </c>
      <c r="L33" s="100" t="str">
        <f>IF(FacingSheet!$B$11=25,IF(ISERROR(((((H33*1440)-50)*60)-(((H33*1440)-50)^1.6))/86400),"",((((H33*1440)-50)*60)-(((H33*1440)-50)^1.6))/86400),"")</f>
        <v/>
      </c>
      <c r="M33" s="100" t="str">
        <f>IF(FacingSheet!$B$11=30,IF(ISERROR(((((H33*1440)-60)*60)-((((H33*1440)-60)^1.6))/1.2)/86400),"",((((H33*1440)-60)*60)-((((H33*1440)-60)^1.6))/1.2)/86400),"")</f>
        <v/>
      </c>
      <c r="N33" s="100" t="str">
        <f>IF(FacingSheet!$B$11=50,IF(ISERROR(((((H33*1440)-105)*60)-((((H33*1440)-105)^1.6))/2)/86400),"",((((H33*1440)-105)*60)-((((H33*1440)-105)^1.6))/2)/86400),"")</f>
        <v/>
      </c>
      <c r="O33" s="100" t="str">
        <f>IF(FacingSheet!$B$11=100,IF(ISERROR(((((H33*1440)-230)*60)-((((H33*1440)-230)^1.6))/4)/86400),"",((((H33*1440)-230)*60)-((((H33*1440)-230)^1.6))/4)/86400),"")</f>
        <v/>
      </c>
      <c r="P33" s="108">
        <f>IF(FacingSheet!$B$11=10,J33,IF(FacingSheet!$B$11=15,K33,IF(FacingSheet!$B$11=25,L33,IF(FacingSheet!$B$11=30,M33,IF(FacingSheet!$B$11=50,N33,IF(FacingSheet!$B$11=100,O33,""))))))</f>
        <v>1.9960235809029269E-3</v>
      </c>
      <c r="Q33" s="65" t="str">
        <f>IF(OR(F33="V",F33="FV"),IF(I33="","",IF(MONTH(FacingSheet!$S$9)&gt;MONTH(I33),YEAR(FacingSheet!$S$9)-YEAR(I33),IF(AND(MONTH(FacingSheet!$S$9)=MONTH(I33),DAY(FacingSheet!$S$9)&gt;=DAY(I33)),YEAR(FacingSheet!$S$9)-YEAR(I33),(YEAR(FacingSheet!$S$9)-YEAR(I33))-1))),"")</f>
        <v/>
      </c>
      <c r="R33" s="108" t="str">
        <f>IF(Q33="","",IF(FacingSheet!$B$11=10,VLOOKUP(Q33,Age,2,FALSE),IF(FacingSheet!$B$11=15,VLOOKUP(Q33,Age,3,FALSE),IF(FacingSheet!$B$11=25,VLOOKUP(Q33,Age,4,FALSE),IF(FacingSheet!$B$11=30,VLOOKUP(Q33,Age,5,FALSE),IF(FacingSheet!$B$11=50,VLOOKUP(Q33,Age,6,FALSE),IF(FacingSheet!$B$11=100,VLOOKUP(Q33,Age,7,FALSE),"")))))))</f>
        <v/>
      </c>
      <c r="S33" s="108" t="str">
        <f>IF(Q33="","",IF(FacingSheet!$B$11=10,VLOOKUP(Q33,AgeF,2,FALSE),IF(FacingSheet!$B$11=15,VLOOKUP(Q33,AgeF,3,FALSE),IF(FacingSheet!$B$11=25,VLOOKUP(Q33,AgeF,4,FALSE),IF(FacingSheet!$B$11=30,VLOOKUP(Q33,AgeF,5,FALSE),IF(FacingSheet!$B$11=50,VLOOKUP(Q33,AgeF,6,FALSE),IF(FacingSheet!$B$11=100,VLOOKUP(Q33,AgeF,7,FALSE),"")))))))</f>
        <v/>
      </c>
      <c r="T33" s="108" t="str">
        <f t="shared" si="2"/>
        <v/>
      </c>
      <c r="U33" s="29"/>
      <c r="V33" s="29"/>
      <c r="W33" s="29"/>
      <c r="X33" s="132"/>
      <c r="Y33" s="132"/>
      <c r="Z33" s="132"/>
    </row>
    <row r="34" spans="1:26">
      <c r="A34" s="36">
        <v>60</v>
      </c>
      <c r="B34" s="133" t="str">
        <f>"Thomas"</f>
        <v>Thomas</v>
      </c>
      <c r="C34" s="133" t="str">
        <f>"Gelati"</f>
        <v>Gelati</v>
      </c>
      <c r="D34" s="1" t="str">
        <f t="shared" si="0"/>
        <v>Thomas Gelati</v>
      </c>
      <c r="E34" s="29" t="str">
        <f>"Handsling Alba Development Road Team"</f>
        <v>Handsling Alba Development Road Team</v>
      </c>
      <c r="F34" s="29" t="s">
        <v>58</v>
      </c>
      <c r="G34" s="29" t="str">
        <f>"1198488"</f>
        <v>1198488</v>
      </c>
      <c r="H34" s="193">
        <v>1.3958333333333333E-2</v>
      </c>
      <c r="I34" s="131" t="str">
        <f>"09/11/1988"</f>
        <v>09/11/1988</v>
      </c>
      <c r="J34" s="100">
        <f>IF(FacingSheet!$B$11=10,IF(ISERROR(((((H34*1440)-20)*60)-(((H34*1440)-20)^1.6)*2.5)/86400),"",((((H34*1440)-20)*60)-(((H34*1440)-20)^1.6)*2.5)/86400),"")</f>
        <v>6.8717625453844152E-5</v>
      </c>
      <c r="K34" s="100" t="str">
        <f>IF(FacingSheet!$B$11=15,IF(ISERROR(((((H34*1440)-33)*60)-(((H34*1440)-33)^1.6)*1.667)/86400),"",((((H34*1440)-33)*60)-(((H34*1440)-33)^1.6)*1.667)/86400),"")</f>
        <v/>
      </c>
      <c r="L34" s="100" t="str">
        <f>IF(FacingSheet!$B$11=25,IF(ISERROR(((((H34*1440)-50)*60)-(((H34*1440)-50)^1.6))/86400),"",((((H34*1440)-50)*60)-(((H34*1440)-50)^1.6))/86400),"")</f>
        <v/>
      </c>
      <c r="M34" s="100" t="str">
        <f>IF(FacingSheet!$B$11=30,IF(ISERROR(((((H34*1440)-60)*60)-((((H34*1440)-60)^1.6))/1.2)/86400),"",((((H34*1440)-60)*60)-((((H34*1440)-60)^1.6))/1.2)/86400),"")</f>
        <v/>
      </c>
      <c r="N34" s="100" t="str">
        <f>IF(FacingSheet!$B$11=50,IF(ISERROR(((((H34*1440)-105)*60)-((((H34*1440)-105)^1.6))/2)/86400),"",((((H34*1440)-105)*60)-((((H34*1440)-105)^1.6))/2)/86400),"")</f>
        <v/>
      </c>
      <c r="O34" s="100" t="str">
        <f>IF(FacingSheet!$B$11=100,IF(ISERROR(((((H34*1440)-230)*60)-((((H34*1440)-230)^1.6))/4)/86400),"",((((H34*1440)-230)*60)-((((H34*1440)-230)^1.6))/4)/86400),"")</f>
        <v/>
      </c>
      <c r="P34" s="108">
        <f>IF(FacingSheet!$B$11=10,J34,IF(FacingSheet!$B$11=15,K34,IF(FacingSheet!$B$11=25,L34,IF(FacingSheet!$B$11=30,M34,IF(FacingSheet!$B$11=50,N34,IF(FacingSheet!$B$11=100,O34,""))))))</f>
        <v>6.8717625453844152E-5</v>
      </c>
      <c r="Q34" s="65" t="str">
        <f>IF(OR(F34="V",F34="FV"),IF(I34="","",IF(MONTH(FacingSheet!$S$9)&gt;MONTH(I34),YEAR(FacingSheet!$S$9)-YEAR(I34),IF(AND(MONTH(FacingSheet!$S$9)=MONTH(I34),DAY(FacingSheet!$S$9)&gt;=DAY(I34)),YEAR(FacingSheet!$S$9)-YEAR(I34),(YEAR(FacingSheet!$S$9)-YEAR(I34))-1))),"")</f>
        <v/>
      </c>
      <c r="R34" s="108" t="str">
        <f>IF(Q34="","",IF(FacingSheet!$B$11=10,VLOOKUP(Q34,Age,2,FALSE),IF(FacingSheet!$B$11=15,VLOOKUP(Q34,Age,3,FALSE),IF(FacingSheet!$B$11=25,VLOOKUP(Q34,Age,4,FALSE),IF(FacingSheet!$B$11=30,VLOOKUP(Q34,Age,5,FALSE),IF(FacingSheet!$B$11=50,VLOOKUP(Q34,Age,6,FALSE),IF(FacingSheet!$B$11=100,VLOOKUP(Q34,Age,7,FALSE),"")))))))</f>
        <v/>
      </c>
      <c r="S34" s="108" t="str">
        <f>IF(Q34="","",IF(FacingSheet!$B$11=10,VLOOKUP(Q34,AgeF,2,FALSE),IF(FacingSheet!$B$11=15,VLOOKUP(Q34,AgeF,3,FALSE),IF(FacingSheet!$B$11=25,VLOOKUP(Q34,AgeF,4,FALSE),IF(FacingSheet!$B$11=30,VLOOKUP(Q34,AgeF,5,FALSE),IF(FacingSheet!$B$11=50,VLOOKUP(Q34,AgeF,6,FALSE),IF(FacingSheet!$B$11=100,VLOOKUP(Q34,AgeF,7,FALSE),"")))))))</f>
        <v/>
      </c>
      <c r="T34" s="108" t="str">
        <f t="shared" si="2"/>
        <v/>
      </c>
      <c r="U34" s="29"/>
      <c r="V34" s="29"/>
      <c r="W34" s="29"/>
      <c r="X34" s="132"/>
      <c r="Y34" s="132"/>
      <c r="Z34" s="132"/>
    </row>
    <row r="35" spans="1:26">
      <c r="A35" s="36">
        <v>24</v>
      </c>
      <c r="B35" s="133" t="str">
        <f>"Malcolm"</f>
        <v>Malcolm</v>
      </c>
      <c r="C35" s="133" t="str">
        <f>"Grant"</f>
        <v>Grant</v>
      </c>
      <c r="D35" s="1" t="str">
        <f t="shared" si="0"/>
        <v>Malcolm Grant</v>
      </c>
      <c r="E35" s="29" t="str">
        <f>"Pedal Power Inverurie"</f>
        <v>Pedal Power Inverurie</v>
      </c>
      <c r="F35" s="29" t="s">
        <v>57</v>
      </c>
      <c r="G35" s="29" t="str">
        <f>"201791"</f>
        <v>201791</v>
      </c>
      <c r="H35" s="193">
        <v>1.7037037037037038E-2</v>
      </c>
      <c r="I35" s="131" t="str">
        <f>"28/09/1973"</f>
        <v>28/09/1973</v>
      </c>
      <c r="J35" s="100">
        <f>IF(FacingSheet!$B$11=10,IF(ISERROR(((((H35*1440)-20)*60)-(((H35*1440)-20)^1.6)*2.5)/86400),"",((((H35*1440)-20)*60)-(((H35*1440)-20)^1.6)*2.5)/86400),"")</f>
        <v>2.8232894406747446E-3</v>
      </c>
      <c r="K35" s="100" t="str">
        <f>IF(FacingSheet!$B$11=15,IF(ISERROR(((((H35*1440)-33)*60)-(((H35*1440)-33)^1.6)*1.667)/86400),"",((((H35*1440)-33)*60)-(((H35*1440)-33)^1.6)*1.667)/86400),"")</f>
        <v/>
      </c>
      <c r="L35" s="100" t="str">
        <f>IF(FacingSheet!$B$11=25,IF(ISERROR(((((H35*1440)-50)*60)-(((H35*1440)-50)^1.6))/86400),"",((((H35*1440)-50)*60)-(((H35*1440)-50)^1.6))/86400),"")</f>
        <v/>
      </c>
      <c r="M35" s="100" t="str">
        <f>IF(FacingSheet!$B$11=30,IF(ISERROR(((((H35*1440)-60)*60)-((((H35*1440)-60)^1.6))/1.2)/86400),"",((((H35*1440)-60)*60)-((((H35*1440)-60)^1.6))/1.2)/86400),"")</f>
        <v/>
      </c>
      <c r="N35" s="100" t="str">
        <f>IF(FacingSheet!$B$11=50,IF(ISERROR(((((H35*1440)-105)*60)-((((H35*1440)-105)^1.6))/2)/86400),"",((((H35*1440)-105)*60)-((((H35*1440)-105)^1.6))/2)/86400),"")</f>
        <v/>
      </c>
      <c r="O35" s="100" t="str">
        <f>IF(FacingSheet!$B$11=100,IF(ISERROR(((((H35*1440)-230)*60)-((((H35*1440)-230)^1.6))/4)/86400),"",((((H35*1440)-230)*60)-((((H35*1440)-230)^1.6))/4)/86400),"")</f>
        <v/>
      </c>
      <c r="P35" s="108">
        <f>IF(FacingSheet!$B$11=10,J35,IF(FacingSheet!$B$11=15,K35,IF(FacingSheet!$B$11=25,L35,IF(FacingSheet!$B$11=30,M35,IF(FacingSheet!$B$11=50,N35,IF(FacingSheet!$B$11=100,O35,""))))))</f>
        <v>2.8232894406747446E-3</v>
      </c>
      <c r="Q35" s="65">
        <f>IF(OR(F35="V",F35="FV"),IF(I35="","",IF(MONTH(FacingSheet!$S$9)&gt;MONTH(I35),YEAR(FacingSheet!$S$9)-YEAR(I35),IF(AND(MONTH(FacingSheet!$S$9)=MONTH(I35),DAY(FacingSheet!$S$9)&gt;=DAY(I35)),YEAR(FacingSheet!$S$9)-YEAR(I35),(YEAR(FacingSheet!$S$9)-YEAR(I35))-1))),"")</f>
        <v>51</v>
      </c>
      <c r="R35" s="108">
        <f>IF(Q35="","",IF(FacingSheet!$B$11=10,VLOOKUP(Q35,Age,2,FALSE),IF(FacingSheet!$B$11=15,VLOOKUP(Q35,Age,3,FALSE),IF(FacingSheet!$B$11=25,VLOOKUP(Q35,Age,4,FALSE),IF(FacingSheet!$B$11=30,VLOOKUP(Q35,Age,5,FALSE),IF(FacingSheet!$B$11=50,VLOOKUP(Q35,Age,6,FALSE),IF(FacingSheet!$B$11=100,VLOOKUP(Q35,Age,7,FALSE),"")))))))</f>
        <v>1.8680555555555554E-2</v>
      </c>
      <c r="S35" s="108">
        <f>IF(Q35="","",IF(FacingSheet!$B$11=10,VLOOKUP(Q35,AgeF,2,FALSE),IF(FacingSheet!$B$11=15,VLOOKUP(Q35,AgeF,3,FALSE),IF(FacingSheet!$B$11=25,VLOOKUP(Q35,AgeF,4,FALSE),IF(FacingSheet!$B$11=30,VLOOKUP(Q35,AgeF,5,FALSE),IF(FacingSheet!$B$11=50,VLOOKUP(Q35,AgeF,6,FALSE),IF(FacingSheet!$B$11=100,VLOOKUP(Q35,AgeF,7,FALSE),"")))))))</f>
        <v>2.0266203703703703E-2</v>
      </c>
      <c r="T35" s="108">
        <f t="shared" si="2"/>
        <v>1.8680555555555554E-2</v>
      </c>
      <c r="U35" s="29"/>
      <c r="V35" s="29"/>
      <c r="W35" s="29"/>
      <c r="X35" s="132"/>
      <c r="Y35" s="132"/>
      <c r="Z35" s="132"/>
    </row>
    <row r="36" spans="1:26">
      <c r="A36" s="36">
        <v>18</v>
      </c>
      <c r="B36" s="133" t="str">
        <f>"Ian"</f>
        <v>Ian</v>
      </c>
      <c r="C36" s="133" t="str">
        <f>"Grant"</f>
        <v>Grant</v>
      </c>
      <c r="D36" s="1" t="str">
        <f t="shared" si="0"/>
        <v>Ian Grant</v>
      </c>
      <c r="E36" s="29" t="str">
        <f>"Deeside Thistle CC"</f>
        <v>Deeside Thistle CC</v>
      </c>
      <c r="F36" s="29" t="s">
        <v>57</v>
      </c>
      <c r="G36" s="29" t="str">
        <f>"460001"</f>
        <v>460001</v>
      </c>
      <c r="H36" s="193">
        <v>1.6932870370370369E-2</v>
      </c>
      <c r="I36" s="131" t="str">
        <f>"30/12/1963"</f>
        <v>30/12/1963</v>
      </c>
      <c r="J36" s="100">
        <f>IF(FacingSheet!$B$11=10,IF(ISERROR(((((H36*1440)-20)*60)-(((H36*1440)-20)^1.6)*2.5)/86400),"",((((H36*1440)-20)*60)-(((H36*1440)-20)^1.6)*2.5)/86400),"")</f>
        <v>2.7361496946976495E-3</v>
      </c>
      <c r="K36" s="100" t="str">
        <f>IF(FacingSheet!$B$11=15,IF(ISERROR(((((H36*1440)-33)*60)-(((H36*1440)-33)^1.6)*1.667)/86400),"",((((H36*1440)-33)*60)-(((H36*1440)-33)^1.6)*1.667)/86400),"")</f>
        <v/>
      </c>
      <c r="L36" s="100" t="str">
        <f>IF(FacingSheet!$B$11=25,IF(ISERROR(((((H36*1440)-50)*60)-(((H36*1440)-50)^1.6))/86400),"",((((H36*1440)-50)*60)-(((H36*1440)-50)^1.6))/86400),"")</f>
        <v/>
      </c>
      <c r="M36" s="100" t="str">
        <f>IF(FacingSheet!$B$11=30,IF(ISERROR(((((H36*1440)-60)*60)-((((H36*1440)-60)^1.6))/1.2)/86400),"",((((H36*1440)-60)*60)-((((H36*1440)-60)^1.6))/1.2)/86400),"")</f>
        <v/>
      </c>
      <c r="N36" s="100" t="str">
        <f>IF(FacingSheet!$B$11=50,IF(ISERROR(((((H36*1440)-105)*60)-((((H36*1440)-105)^1.6))/2)/86400),"",((((H36*1440)-105)*60)-((((H36*1440)-105)^1.6))/2)/86400),"")</f>
        <v/>
      </c>
      <c r="O36" s="100" t="str">
        <f>IF(FacingSheet!$B$11=100,IF(ISERROR(((((H36*1440)-230)*60)-((((H36*1440)-230)^1.6))/4)/86400),"",((((H36*1440)-230)*60)-((((H36*1440)-230)^1.6))/4)/86400),"")</f>
        <v/>
      </c>
      <c r="P36" s="108">
        <f>IF(FacingSheet!$B$11=10,J36,IF(FacingSheet!$B$11=15,K36,IF(FacingSheet!$B$11=25,L36,IF(FacingSheet!$B$11=30,M36,IF(FacingSheet!$B$11=50,N36,IF(FacingSheet!$B$11=100,O36,""))))))</f>
        <v>2.7361496946976495E-3</v>
      </c>
      <c r="Q36" s="65">
        <f>IF(OR(F36="V",F36="FV"),IF(I36="","",IF(MONTH(FacingSheet!$S$9)&gt;MONTH(I36),YEAR(FacingSheet!$S$9)-YEAR(I36),IF(AND(MONTH(FacingSheet!$S$9)=MONTH(I36),DAY(FacingSheet!$S$9)&gt;=DAY(I36)),YEAR(FacingSheet!$S$9)-YEAR(I36),(YEAR(FacingSheet!$S$9)-YEAR(I36))-1))),"")</f>
        <v>61</v>
      </c>
      <c r="R36" s="108">
        <f>IF(Q36="","",IF(FacingSheet!$B$11=10,VLOOKUP(Q36,Age,2,FALSE),IF(FacingSheet!$B$11=15,VLOOKUP(Q36,Age,3,FALSE),IF(FacingSheet!$B$11=25,VLOOKUP(Q36,Age,4,FALSE),IF(FacingSheet!$B$11=30,VLOOKUP(Q36,Age,5,FALSE),IF(FacingSheet!$B$11=50,VLOOKUP(Q36,Age,6,FALSE),IF(FacingSheet!$B$11=100,VLOOKUP(Q36,Age,7,FALSE),"")))))))</f>
        <v>1.9270833333333334E-2</v>
      </c>
      <c r="S36" s="108">
        <f>IF(Q36="","",IF(FacingSheet!$B$11=10,VLOOKUP(Q36,AgeF,2,FALSE),IF(FacingSheet!$B$11=15,VLOOKUP(Q36,AgeF,3,FALSE),IF(FacingSheet!$B$11=25,VLOOKUP(Q36,AgeF,4,FALSE),IF(FacingSheet!$B$11=30,VLOOKUP(Q36,AgeF,5,FALSE),IF(FacingSheet!$B$11=50,VLOOKUP(Q36,AgeF,6,FALSE),IF(FacingSheet!$B$11=100,VLOOKUP(Q36,AgeF,7,FALSE),"")))))))</f>
        <v>2.0937500000000001E-2</v>
      </c>
      <c r="T36" s="108">
        <f t="shared" si="2"/>
        <v>1.9270833333333334E-2</v>
      </c>
      <c r="U36" s="29"/>
      <c r="V36" s="29"/>
      <c r="W36" s="29"/>
      <c r="X36" s="132"/>
      <c r="Y36" s="132"/>
      <c r="Z36" s="132"/>
    </row>
    <row r="37" spans="1:26">
      <c r="A37" s="36">
        <v>13</v>
      </c>
      <c r="B37" s="133" t="str">
        <f>"Gillies"</f>
        <v>Gillies</v>
      </c>
      <c r="C37" s="133" t="str">
        <f>"Grant"</f>
        <v>Grant</v>
      </c>
      <c r="D37" s="1" t="str">
        <f t="shared" si="0"/>
        <v>Gillies Grant</v>
      </c>
      <c r="E37" s="29" t="str">
        <f>"Forres CC"</f>
        <v>Forres CC</v>
      </c>
      <c r="F37" s="29" t="s">
        <v>58</v>
      </c>
      <c r="G37" s="29" t="str">
        <f>"1711884"</f>
        <v>1711884</v>
      </c>
      <c r="H37" s="193">
        <v>1.6261574074074074E-2</v>
      </c>
      <c r="I37" s="131" t="str">
        <f>"12/08/2006"</f>
        <v>12/08/2006</v>
      </c>
      <c r="J37" s="100">
        <f>IF(FacingSheet!$B$11=10,IF(ISERROR(((((H37*1440)-20)*60)-(((H37*1440)-20)^1.6)*2.5)/86400),"",((((H37*1440)-20)*60)-(((H37*1440)-20)^1.6)*2.5)/86400),"")</f>
        <v>2.166056580379945E-3</v>
      </c>
      <c r="K37" s="100" t="str">
        <f>IF(FacingSheet!$B$11=15,IF(ISERROR(((((H37*1440)-33)*60)-(((H37*1440)-33)^1.6)*1.667)/86400),"",((((H37*1440)-33)*60)-(((H37*1440)-33)^1.6)*1.667)/86400),"")</f>
        <v/>
      </c>
      <c r="L37" s="100" t="str">
        <f>IF(FacingSheet!$B$11=25,IF(ISERROR(((((H37*1440)-50)*60)-(((H37*1440)-50)^1.6))/86400),"",((((H37*1440)-50)*60)-(((H37*1440)-50)^1.6))/86400),"")</f>
        <v/>
      </c>
      <c r="M37" s="100" t="str">
        <f>IF(FacingSheet!$B$11=30,IF(ISERROR(((((H37*1440)-60)*60)-((((H37*1440)-60)^1.6))/1.2)/86400),"",((((H37*1440)-60)*60)-((((H37*1440)-60)^1.6))/1.2)/86400),"")</f>
        <v/>
      </c>
      <c r="N37" s="100" t="str">
        <f>IF(FacingSheet!$B$11=50,IF(ISERROR(((((H37*1440)-105)*60)-((((H37*1440)-105)^1.6))/2)/86400),"",((((H37*1440)-105)*60)-((((H37*1440)-105)^1.6))/2)/86400),"")</f>
        <v/>
      </c>
      <c r="O37" s="100" t="str">
        <f>IF(FacingSheet!$B$11=100,IF(ISERROR(((((H37*1440)-230)*60)-((((H37*1440)-230)^1.6))/4)/86400),"",((((H37*1440)-230)*60)-((((H37*1440)-230)^1.6))/4)/86400),"")</f>
        <v/>
      </c>
      <c r="P37" s="108">
        <f>IF(FacingSheet!$B$11=10,J37,IF(FacingSheet!$B$11=15,K37,IF(FacingSheet!$B$11=25,L37,IF(FacingSheet!$B$11=30,M37,IF(FacingSheet!$B$11=50,N37,IF(FacingSheet!$B$11=100,O37,""))))))</f>
        <v>2.166056580379945E-3</v>
      </c>
      <c r="Q37" s="65" t="str">
        <f>IF(OR(F37="V",F37="FV"),IF(I37="","",IF(MONTH(FacingSheet!$S$9)&gt;MONTH(I37),YEAR(FacingSheet!$S$9)-YEAR(I37),IF(AND(MONTH(FacingSheet!$S$9)=MONTH(I37),DAY(FacingSheet!$S$9)&gt;=DAY(I37)),YEAR(FacingSheet!$S$9)-YEAR(I37),(YEAR(FacingSheet!$S$9)-YEAR(I37))-1))),"")</f>
        <v/>
      </c>
      <c r="R37" s="108" t="str">
        <f>IF(Q37="","",IF(FacingSheet!$B$11=10,VLOOKUP(Q37,Age,2,FALSE),IF(FacingSheet!$B$11=15,VLOOKUP(Q37,Age,3,FALSE),IF(FacingSheet!$B$11=25,VLOOKUP(Q37,Age,4,FALSE),IF(FacingSheet!$B$11=30,VLOOKUP(Q37,Age,5,FALSE),IF(FacingSheet!$B$11=50,VLOOKUP(Q37,Age,6,FALSE),IF(FacingSheet!$B$11=100,VLOOKUP(Q37,Age,7,FALSE),"")))))))</f>
        <v/>
      </c>
      <c r="S37" s="108" t="str">
        <f>IF(Q37="","",IF(FacingSheet!$B$11=10,VLOOKUP(Q37,AgeF,2,FALSE),IF(FacingSheet!$B$11=15,VLOOKUP(Q37,AgeF,3,FALSE),IF(FacingSheet!$B$11=25,VLOOKUP(Q37,AgeF,4,FALSE),IF(FacingSheet!$B$11=30,VLOOKUP(Q37,AgeF,5,FALSE),IF(FacingSheet!$B$11=50,VLOOKUP(Q37,AgeF,6,FALSE),IF(FacingSheet!$B$11=100,VLOOKUP(Q37,AgeF,7,FALSE),"")))))))</f>
        <v/>
      </c>
      <c r="T37" s="108" t="str">
        <f t="shared" si="2"/>
        <v/>
      </c>
      <c r="U37" s="29"/>
      <c r="V37" s="29"/>
      <c r="W37" s="29"/>
      <c r="X37" s="132"/>
      <c r="Y37" s="132"/>
      <c r="Z37" s="132"/>
    </row>
    <row r="38" spans="1:26">
      <c r="A38" s="36">
        <v>39</v>
      </c>
      <c r="B38" s="133" t="str">
        <f>"George"</f>
        <v>George</v>
      </c>
      <c r="C38" s="133" t="str">
        <f>"Grant"</f>
        <v>Grant</v>
      </c>
      <c r="D38" s="1" t="str">
        <f t="shared" si="0"/>
        <v>George Grant</v>
      </c>
      <c r="E38" s="29" t="str">
        <f>"Forres CC"</f>
        <v>Forres CC</v>
      </c>
      <c r="F38" s="29" t="s">
        <v>58</v>
      </c>
      <c r="G38" s="29" t="str">
        <f>"201987"</f>
        <v>201987</v>
      </c>
      <c r="H38" s="193">
        <v>2.0486111111111111E-2</v>
      </c>
      <c r="I38" s="131" t="str">
        <f>"06/02/1946"</f>
        <v>06/02/1946</v>
      </c>
      <c r="J38" s="100">
        <f>IF(FacingSheet!$B$11=10,IF(ISERROR(((((H38*1440)-20)*60)-(((H38*1440)-20)^1.6)*2.5)/86400),"",((((H38*1440)-20)*60)-(((H38*1440)-20)^1.6)*2.5)/86400),"")</f>
        <v>5.5360544922366242E-3</v>
      </c>
      <c r="K38" s="100" t="str">
        <f>IF(FacingSheet!$B$11=15,IF(ISERROR(((((H38*1440)-33)*60)-(((H38*1440)-33)^1.6)*1.667)/86400),"",((((H38*1440)-33)*60)-(((H38*1440)-33)^1.6)*1.667)/86400),"")</f>
        <v/>
      </c>
      <c r="L38" s="100" t="str">
        <f>IF(FacingSheet!$B$11=25,IF(ISERROR(((((H38*1440)-50)*60)-(((H38*1440)-50)^1.6))/86400),"",((((H38*1440)-50)*60)-(((H38*1440)-50)^1.6))/86400),"")</f>
        <v/>
      </c>
      <c r="M38" s="100" t="str">
        <f>IF(FacingSheet!$B$11=30,IF(ISERROR(((((H38*1440)-60)*60)-((((H38*1440)-60)^1.6))/1.2)/86400),"",((((H38*1440)-60)*60)-((((H38*1440)-60)^1.6))/1.2)/86400),"")</f>
        <v/>
      </c>
      <c r="N38" s="100" t="str">
        <f>IF(FacingSheet!$B$11=50,IF(ISERROR(((((H38*1440)-105)*60)-((((H38*1440)-105)^1.6))/2)/86400),"",((((H38*1440)-105)*60)-((((H38*1440)-105)^1.6))/2)/86400),"")</f>
        <v/>
      </c>
      <c r="O38" s="100" t="str">
        <f>IF(FacingSheet!$B$11=100,IF(ISERROR(((((H38*1440)-230)*60)-((((H38*1440)-230)^1.6))/4)/86400),"",((((H38*1440)-230)*60)-((((H38*1440)-230)^1.6))/4)/86400),"")</f>
        <v/>
      </c>
      <c r="P38" s="108">
        <f>IF(FacingSheet!$B$11=10,J38,IF(FacingSheet!$B$11=15,K38,IF(FacingSheet!$B$11=25,L38,IF(FacingSheet!$B$11=30,M38,IF(FacingSheet!$B$11=50,N38,IF(FacingSheet!$B$11=100,O38,""))))))</f>
        <v>5.5360544922366242E-3</v>
      </c>
      <c r="Q38" s="65" t="str">
        <f>IF(OR(F38="V",F38="FV"),IF(I38="","",IF(MONTH(FacingSheet!$S$9)&gt;MONTH(I38),YEAR(FacingSheet!$S$9)-YEAR(I38),IF(AND(MONTH(FacingSheet!$S$9)=MONTH(I38),DAY(FacingSheet!$S$9)&gt;=DAY(I38)),YEAR(FacingSheet!$S$9)-YEAR(I38),(YEAR(FacingSheet!$S$9)-YEAR(I38))-1))),"")</f>
        <v/>
      </c>
      <c r="R38" s="108" t="str">
        <f>IF(Q38="","",IF(FacingSheet!$B$11=10,VLOOKUP(Q38,Age,2,FALSE),IF(FacingSheet!$B$11=15,VLOOKUP(Q38,Age,3,FALSE),IF(FacingSheet!$B$11=25,VLOOKUP(Q38,Age,4,FALSE),IF(FacingSheet!$B$11=30,VLOOKUP(Q38,Age,5,FALSE),IF(FacingSheet!$B$11=50,VLOOKUP(Q38,Age,6,FALSE),IF(FacingSheet!$B$11=100,VLOOKUP(Q38,Age,7,FALSE),"")))))))</f>
        <v/>
      </c>
      <c r="S38" s="108" t="str">
        <f>IF(Q38="","",IF(FacingSheet!$B$11=10,VLOOKUP(Q38,AgeF,2,FALSE),IF(FacingSheet!$B$11=15,VLOOKUP(Q38,AgeF,3,FALSE),IF(FacingSheet!$B$11=25,VLOOKUP(Q38,AgeF,4,FALSE),IF(FacingSheet!$B$11=30,VLOOKUP(Q38,AgeF,5,FALSE),IF(FacingSheet!$B$11=50,VLOOKUP(Q38,AgeF,6,FALSE),IF(FacingSheet!$B$11=100,VLOOKUP(Q38,AgeF,7,FALSE),"")))))))</f>
        <v/>
      </c>
      <c r="T38" s="108" t="str">
        <f t="shared" si="2"/>
        <v/>
      </c>
      <c r="U38" s="29"/>
      <c r="V38" s="29"/>
      <c r="W38" s="29"/>
      <c r="X38" s="132"/>
      <c r="Y38" s="132"/>
      <c r="Z38" s="132"/>
    </row>
    <row r="39" spans="1:26">
      <c r="A39" s="36">
        <v>50</v>
      </c>
      <c r="B39" s="133" t="str">
        <f>"Garry"</f>
        <v>Garry</v>
      </c>
      <c r="C39" s="133" t="str">
        <f>"Greenaway"</f>
        <v>Greenaway</v>
      </c>
      <c r="D39" s="1" t="str">
        <f t="shared" si="0"/>
        <v>Garry Greenaway</v>
      </c>
      <c r="E39" s="29" t="str">
        <f>"Vanelli-Project Go"</f>
        <v>Vanelli-Project Go</v>
      </c>
      <c r="F39" s="29" t="s">
        <v>57</v>
      </c>
      <c r="G39" s="29" t="str">
        <f>"1554243"</f>
        <v>1554243</v>
      </c>
      <c r="H39" s="193">
        <v>1.412037037037037E-2</v>
      </c>
      <c r="I39" s="131" t="str">
        <f>"13/06/1969"</f>
        <v>13/06/1969</v>
      </c>
      <c r="J39" s="100">
        <f>IF(FacingSheet!$B$11=10,IF(ISERROR(((((H39*1440)-20)*60)-(((H39*1440)-20)^1.6)*2.5)/86400),"",((((H39*1440)-20)*60)-(((H39*1440)-20)^1.6)*2.5)/86400),"")</f>
        <v>2.264922660303639E-4</v>
      </c>
      <c r="K39" s="100" t="str">
        <f>IF(FacingSheet!$B$11=15,IF(ISERROR(((((H39*1440)-33)*60)-(((H39*1440)-33)^1.6)*1.667)/86400),"",((((H39*1440)-33)*60)-(((H39*1440)-33)^1.6)*1.667)/86400),"")</f>
        <v/>
      </c>
      <c r="L39" s="100" t="str">
        <f>IF(FacingSheet!$B$11=25,IF(ISERROR(((((H39*1440)-50)*60)-(((H39*1440)-50)^1.6))/86400),"",((((H39*1440)-50)*60)-(((H39*1440)-50)^1.6))/86400),"")</f>
        <v/>
      </c>
      <c r="M39" s="100" t="str">
        <f>IF(FacingSheet!$B$11=30,IF(ISERROR(((((H39*1440)-60)*60)-((((H39*1440)-60)^1.6))/1.2)/86400),"",((((H39*1440)-60)*60)-((((H39*1440)-60)^1.6))/1.2)/86400),"")</f>
        <v/>
      </c>
      <c r="N39" s="100" t="str">
        <f>IF(FacingSheet!$B$11=50,IF(ISERROR(((((H39*1440)-105)*60)-((((H39*1440)-105)^1.6))/2)/86400),"",((((H39*1440)-105)*60)-((((H39*1440)-105)^1.6))/2)/86400),"")</f>
        <v/>
      </c>
      <c r="O39" s="100" t="str">
        <f>IF(FacingSheet!$B$11=100,IF(ISERROR(((((H39*1440)-230)*60)-((((H39*1440)-230)^1.6))/4)/86400),"",((((H39*1440)-230)*60)-((((H39*1440)-230)^1.6))/4)/86400),"")</f>
        <v/>
      </c>
      <c r="P39" s="108">
        <f>IF(FacingSheet!$B$11=10,J39,IF(FacingSheet!$B$11=15,K39,IF(FacingSheet!$B$11=25,L39,IF(FacingSheet!$B$11=30,M39,IF(FacingSheet!$B$11=50,N39,IF(FacingSheet!$B$11=100,O39,""))))))</f>
        <v>2.264922660303639E-4</v>
      </c>
      <c r="Q39" s="65">
        <f>IF(OR(F39="V",F39="FV"),IF(I39="","",IF(MONTH(FacingSheet!$S$9)&gt;MONTH(I39),YEAR(FacingSheet!$S$9)-YEAR(I39),IF(AND(MONTH(FacingSheet!$S$9)=MONTH(I39),DAY(FacingSheet!$S$9)&gt;=DAY(I39)),YEAR(FacingSheet!$S$9)-YEAR(I39),(YEAR(FacingSheet!$S$9)-YEAR(I39))-1))),"")</f>
        <v>56</v>
      </c>
      <c r="R39" s="108">
        <f>IF(Q39="","",IF(FacingSheet!$B$11=10,VLOOKUP(Q39,Age,2,FALSE),IF(FacingSheet!$B$11=15,VLOOKUP(Q39,Age,3,FALSE),IF(FacingSheet!$B$11=25,VLOOKUP(Q39,Age,4,FALSE),IF(FacingSheet!$B$11=30,VLOOKUP(Q39,Age,5,FALSE),IF(FacingSheet!$B$11=50,VLOOKUP(Q39,Age,6,FALSE),IF(FacingSheet!$B$11=100,VLOOKUP(Q39,Age,7,FALSE),"")))))))</f>
        <v>1.894675925925926E-2</v>
      </c>
      <c r="S39" s="108">
        <f>IF(Q39="","",IF(FacingSheet!$B$11=10,VLOOKUP(Q39,AgeF,2,FALSE),IF(FacingSheet!$B$11=15,VLOOKUP(Q39,AgeF,3,FALSE),IF(FacingSheet!$B$11=25,VLOOKUP(Q39,AgeF,4,FALSE),IF(FacingSheet!$B$11=30,VLOOKUP(Q39,AgeF,5,FALSE),IF(FacingSheet!$B$11=50,VLOOKUP(Q39,AgeF,6,FALSE),IF(FacingSheet!$B$11=100,VLOOKUP(Q39,AgeF,7,FALSE),"")))))))</f>
        <v>2.0578703703703703E-2</v>
      </c>
      <c r="T39" s="108">
        <f t="shared" si="2"/>
        <v>1.894675925925926E-2</v>
      </c>
      <c r="U39" s="29"/>
      <c r="V39" s="29"/>
      <c r="W39" s="29"/>
      <c r="X39" s="132"/>
      <c r="Y39" s="132"/>
      <c r="Z39" s="132"/>
    </row>
    <row r="40" spans="1:26">
      <c r="A40" s="36">
        <v>75</v>
      </c>
      <c r="B40" s="133" t="str">
        <f>"Graham"</f>
        <v>Graham</v>
      </c>
      <c r="C40" s="133" t="str">
        <f>"Hollinger"</f>
        <v>Hollinger</v>
      </c>
      <c r="D40" s="1" t="str">
        <f t="shared" si="0"/>
        <v>Graham Hollinger</v>
      </c>
      <c r="E40" s="29" t="str">
        <f>"Torvelo Racing"</f>
        <v>Torvelo Racing</v>
      </c>
      <c r="F40" s="29" t="s">
        <v>58</v>
      </c>
      <c r="G40" s="29" t="str">
        <f>"1673941"</f>
        <v>1673941</v>
      </c>
      <c r="H40" s="193">
        <v>1.3125E-2</v>
      </c>
      <c r="I40" s="131" t="str">
        <f>"09/12/1988"</f>
        <v>09/12/1988</v>
      </c>
      <c r="J40" s="100" t="str">
        <f>IF(FacingSheet!$B$11=10,IF(ISERROR(((((H40*1440)-20)*60)-(((H40*1440)-20)^1.6)*2.5)/86400),"",((((H40*1440)-20)*60)-(((H40*1440)-20)^1.6)*2.5)/86400),"")</f>
        <v/>
      </c>
      <c r="K40" s="100" t="str">
        <f>IF(FacingSheet!$B$11=15,IF(ISERROR(((((H40*1440)-33)*60)-(((H40*1440)-33)^1.6)*1.667)/86400),"",((((H40*1440)-33)*60)-(((H40*1440)-33)^1.6)*1.667)/86400),"")</f>
        <v/>
      </c>
      <c r="L40" s="100" t="str">
        <f>IF(FacingSheet!$B$11=25,IF(ISERROR(((((H40*1440)-50)*60)-(((H40*1440)-50)^1.6))/86400),"",((((H40*1440)-50)*60)-(((H40*1440)-50)^1.6))/86400),"")</f>
        <v/>
      </c>
      <c r="M40" s="100" t="str">
        <f>IF(FacingSheet!$B$11=30,IF(ISERROR(((((H40*1440)-60)*60)-((((H40*1440)-60)^1.6))/1.2)/86400),"",((((H40*1440)-60)*60)-((((H40*1440)-60)^1.6))/1.2)/86400),"")</f>
        <v/>
      </c>
      <c r="N40" s="100" t="str">
        <f>IF(FacingSheet!$B$11=50,IF(ISERROR(((((H40*1440)-105)*60)-((((H40*1440)-105)^1.6))/2)/86400),"",((((H40*1440)-105)*60)-((((H40*1440)-105)^1.6))/2)/86400),"")</f>
        <v/>
      </c>
      <c r="O40" s="100" t="str">
        <f>IF(FacingSheet!$B$11=100,IF(ISERROR(((((H40*1440)-230)*60)-((((H40*1440)-230)^1.6))/4)/86400),"",((((H40*1440)-230)*60)-((((H40*1440)-230)^1.6))/4)/86400),"")</f>
        <v/>
      </c>
      <c r="P40" s="108" t="str">
        <f>IF(FacingSheet!$B$11=10,J40,IF(FacingSheet!$B$11=15,K40,IF(FacingSheet!$B$11=25,L40,IF(FacingSheet!$B$11=30,M40,IF(FacingSheet!$B$11=50,N40,IF(FacingSheet!$B$11=100,O40,""))))))</f>
        <v/>
      </c>
      <c r="Q40" s="65" t="str">
        <f>IF(OR(F40="V",F40="FV"),IF(I40="","",IF(MONTH(FacingSheet!$S$9)&gt;MONTH(I40),YEAR(FacingSheet!$S$9)-YEAR(I40),IF(AND(MONTH(FacingSheet!$S$9)=MONTH(I40),DAY(FacingSheet!$S$9)&gt;=DAY(I40)),YEAR(FacingSheet!$S$9)-YEAR(I40),(YEAR(FacingSheet!$S$9)-YEAR(I40))-1))),"")</f>
        <v/>
      </c>
      <c r="R40" s="108" t="str">
        <f>IF(Q40="","",IF(FacingSheet!$B$11=10,VLOOKUP(Q40,Age,2,FALSE),IF(FacingSheet!$B$11=15,VLOOKUP(Q40,Age,3,FALSE),IF(FacingSheet!$B$11=25,VLOOKUP(Q40,Age,4,FALSE),IF(FacingSheet!$B$11=30,VLOOKUP(Q40,Age,5,FALSE),IF(FacingSheet!$B$11=50,VLOOKUP(Q40,Age,6,FALSE),IF(FacingSheet!$B$11=100,VLOOKUP(Q40,Age,7,FALSE),"")))))))</f>
        <v/>
      </c>
      <c r="S40" s="108" t="str">
        <f>IF(Q40="","",IF(FacingSheet!$B$11=10,VLOOKUP(Q40,AgeF,2,FALSE),IF(FacingSheet!$B$11=15,VLOOKUP(Q40,AgeF,3,FALSE),IF(FacingSheet!$B$11=25,VLOOKUP(Q40,AgeF,4,FALSE),IF(FacingSheet!$B$11=30,VLOOKUP(Q40,AgeF,5,FALSE),IF(FacingSheet!$B$11=50,VLOOKUP(Q40,AgeF,6,FALSE),IF(FacingSheet!$B$11=100,VLOOKUP(Q40,AgeF,7,FALSE),"")))))))</f>
        <v/>
      </c>
      <c r="T40" s="108" t="str">
        <f t="shared" si="2"/>
        <v/>
      </c>
      <c r="U40" s="29"/>
      <c r="V40" s="29"/>
      <c r="W40" s="29"/>
      <c r="X40" s="132"/>
      <c r="Y40" s="132"/>
      <c r="Z40" s="132"/>
    </row>
    <row r="41" spans="1:26">
      <c r="A41" s="36">
        <v>20</v>
      </c>
      <c r="B41" s="133" t="str">
        <f>"Jeremy"</f>
        <v>Jeremy</v>
      </c>
      <c r="C41" s="133" t="str">
        <f>"Hubbard"</f>
        <v>Hubbard</v>
      </c>
      <c r="D41" s="1" t="str">
        <f t="shared" si="0"/>
        <v>Jeremy Hubbard</v>
      </c>
      <c r="E41" s="29" t="str">
        <f>"Cairngorm CC"</f>
        <v>Cairngorm CC</v>
      </c>
      <c r="F41" s="29" t="s">
        <v>58</v>
      </c>
      <c r="G41" s="29" t="str">
        <f>"1267380"</f>
        <v>1267380</v>
      </c>
      <c r="H41" s="193">
        <v>1.4444444444444444E-2</v>
      </c>
      <c r="I41" s="131" t="str">
        <f>"17/03/1992"</f>
        <v>17/03/1992</v>
      </c>
      <c r="J41" s="100">
        <f>IF(FacingSheet!$B$11=10,IF(ISERROR(((((H41*1440)-20)*60)-(((H41*1440)-20)^1.6)*2.5)/86400),"",((((H41*1440)-20)*60)-(((H41*1440)-20)^1.6)*2.5)/86400),"")</f>
        <v>5.3530810974179168E-4</v>
      </c>
      <c r="K41" s="100" t="str">
        <f>IF(FacingSheet!$B$11=15,IF(ISERROR(((((H41*1440)-33)*60)-(((H41*1440)-33)^1.6)*1.667)/86400),"",((((H41*1440)-33)*60)-(((H41*1440)-33)^1.6)*1.667)/86400),"")</f>
        <v/>
      </c>
      <c r="L41" s="100" t="str">
        <f>IF(FacingSheet!$B$11=25,IF(ISERROR(((((H41*1440)-50)*60)-(((H41*1440)-50)^1.6))/86400),"",((((H41*1440)-50)*60)-(((H41*1440)-50)^1.6))/86400),"")</f>
        <v/>
      </c>
      <c r="M41" s="100" t="str">
        <f>IF(FacingSheet!$B$11=30,IF(ISERROR(((((H41*1440)-60)*60)-((((H41*1440)-60)^1.6))/1.2)/86400),"",((((H41*1440)-60)*60)-((((H41*1440)-60)^1.6))/1.2)/86400),"")</f>
        <v/>
      </c>
      <c r="N41" s="100" t="str">
        <f>IF(FacingSheet!$B$11=50,IF(ISERROR(((((H41*1440)-105)*60)-((((H41*1440)-105)^1.6))/2)/86400),"",((((H41*1440)-105)*60)-((((H41*1440)-105)^1.6))/2)/86400),"")</f>
        <v/>
      </c>
      <c r="O41" s="100" t="str">
        <f>IF(FacingSheet!$B$11=100,IF(ISERROR(((((H41*1440)-230)*60)-((((H41*1440)-230)^1.6))/4)/86400),"",((((H41*1440)-230)*60)-((((H41*1440)-230)^1.6))/4)/86400),"")</f>
        <v/>
      </c>
      <c r="P41" s="108">
        <f>IF(FacingSheet!$B$11=10,J41,IF(FacingSheet!$B$11=15,K41,IF(FacingSheet!$B$11=25,L41,IF(FacingSheet!$B$11=30,M41,IF(FacingSheet!$B$11=50,N41,IF(FacingSheet!$B$11=100,O41,""))))))</f>
        <v>5.3530810974179168E-4</v>
      </c>
      <c r="Q41" s="65" t="str">
        <f>IF(OR(F41="V",F41="FV"),IF(I41="","",IF(MONTH(FacingSheet!$S$9)&gt;MONTH(I41),YEAR(FacingSheet!$S$9)-YEAR(I41),IF(AND(MONTH(FacingSheet!$S$9)=MONTH(I41),DAY(FacingSheet!$S$9)&gt;=DAY(I41)),YEAR(FacingSheet!$S$9)-YEAR(I41),(YEAR(FacingSheet!$S$9)-YEAR(I41))-1))),"")</f>
        <v/>
      </c>
      <c r="R41" s="108" t="str">
        <f>IF(Q41="","",IF(FacingSheet!$B$11=10,VLOOKUP(Q41,Age,2,FALSE),IF(FacingSheet!$B$11=15,VLOOKUP(Q41,Age,3,FALSE),IF(FacingSheet!$B$11=25,VLOOKUP(Q41,Age,4,FALSE),IF(FacingSheet!$B$11=30,VLOOKUP(Q41,Age,5,FALSE),IF(FacingSheet!$B$11=50,VLOOKUP(Q41,Age,6,FALSE),IF(FacingSheet!$B$11=100,VLOOKUP(Q41,Age,7,FALSE),"")))))))</f>
        <v/>
      </c>
      <c r="S41" s="108" t="str">
        <f>IF(Q41="","",IF(FacingSheet!$B$11=10,VLOOKUP(Q41,AgeF,2,FALSE),IF(FacingSheet!$B$11=15,VLOOKUP(Q41,AgeF,3,FALSE),IF(FacingSheet!$B$11=25,VLOOKUP(Q41,AgeF,4,FALSE),IF(FacingSheet!$B$11=30,VLOOKUP(Q41,AgeF,5,FALSE),IF(FacingSheet!$B$11=50,VLOOKUP(Q41,AgeF,6,FALSE),IF(FacingSheet!$B$11=100,VLOOKUP(Q41,AgeF,7,FALSE),"")))))))</f>
        <v/>
      </c>
      <c r="T41" s="108" t="str">
        <f t="shared" si="2"/>
        <v/>
      </c>
      <c r="U41" s="29"/>
      <c r="V41" s="29"/>
      <c r="W41" s="29"/>
      <c r="X41" s="132"/>
      <c r="Y41" s="132"/>
      <c r="Z41" s="132"/>
    </row>
    <row r="42" spans="1:26">
      <c r="A42" s="36">
        <v>69</v>
      </c>
      <c r="B42" s="133" t="str">
        <f>"David"</f>
        <v>David</v>
      </c>
      <c r="C42" s="133" t="str">
        <f>"Hutcheson"</f>
        <v>Hutcheson</v>
      </c>
      <c r="D42" s="1" t="str">
        <f t="shared" si="0"/>
        <v>David Hutcheson</v>
      </c>
      <c r="E42" s="29" t="str">
        <f>"RT23"</f>
        <v>RT23</v>
      </c>
      <c r="F42" s="29" t="s">
        <v>58</v>
      </c>
      <c r="G42" s="29" t="str">
        <f>"1775168"</f>
        <v>1775168</v>
      </c>
      <c r="H42" s="193">
        <v>1.474537037037037E-2</v>
      </c>
      <c r="I42" s="131" t="str">
        <f>"26/07/1992"</f>
        <v>26/07/1992</v>
      </c>
      <c r="J42" s="100">
        <f>IF(FacingSheet!$B$11=10,IF(ISERROR(((((H42*1440)-20)*60)-(((H42*1440)-20)^1.6)*2.5)/86400),"",((((H42*1440)-20)*60)-(((H42*1440)-20)^1.6)*2.5)/86400),"")</f>
        <v>8.1600944879515016E-4</v>
      </c>
      <c r="K42" s="100" t="str">
        <f>IF(FacingSheet!$B$11=15,IF(ISERROR(((((H42*1440)-33)*60)-(((H42*1440)-33)^1.6)*1.667)/86400),"",((((H42*1440)-33)*60)-(((H42*1440)-33)^1.6)*1.667)/86400),"")</f>
        <v/>
      </c>
      <c r="L42" s="100" t="str">
        <f>IF(FacingSheet!$B$11=25,IF(ISERROR(((((H42*1440)-50)*60)-(((H42*1440)-50)^1.6))/86400),"",((((H42*1440)-50)*60)-(((H42*1440)-50)^1.6))/86400),"")</f>
        <v/>
      </c>
      <c r="M42" s="100" t="str">
        <f>IF(FacingSheet!$B$11=30,IF(ISERROR(((((H42*1440)-60)*60)-((((H42*1440)-60)^1.6))/1.2)/86400),"",((((H42*1440)-60)*60)-((((H42*1440)-60)^1.6))/1.2)/86400),"")</f>
        <v/>
      </c>
      <c r="N42" s="100" t="str">
        <f>IF(FacingSheet!$B$11=50,IF(ISERROR(((((H42*1440)-105)*60)-((((H42*1440)-105)^1.6))/2)/86400),"",((((H42*1440)-105)*60)-((((H42*1440)-105)^1.6))/2)/86400),"")</f>
        <v/>
      </c>
      <c r="O42" s="100" t="str">
        <f>IF(FacingSheet!$B$11=100,IF(ISERROR(((((H42*1440)-230)*60)-((((H42*1440)-230)^1.6))/4)/86400),"",((((H42*1440)-230)*60)-((((H42*1440)-230)^1.6))/4)/86400),"")</f>
        <v/>
      </c>
      <c r="P42" s="108">
        <f>IF(FacingSheet!$B$11=10,J42,IF(FacingSheet!$B$11=15,K42,IF(FacingSheet!$B$11=25,L42,IF(FacingSheet!$B$11=30,M42,IF(FacingSheet!$B$11=50,N42,IF(FacingSheet!$B$11=100,O42,""))))))</f>
        <v>8.1600944879515016E-4</v>
      </c>
      <c r="Q42" s="65" t="str">
        <f>IF(OR(F42="V",F42="FV"),IF(I42="","",IF(MONTH(FacingSheet!$S$9)&gt;MONTH(I42),YEAR(FacingSheet!$S$9)-YEAR(I42),IF(AND(MONTH(FacingSheet!$S$9)=MONTH(I42),DAY(FacingSheet!$S$9)&gt;=DAY(I42)),YEAR(FacingSheet!$S$9)-YEAR(I42),(YEAR(FacingSheet!$S$9)-YEAR(I42))-1))),"")</f>
        <v/>
      </c>
      <c r="R42" s="108" t="str">
        <f>IF(Q42="","",IF(FacingSheet!$B$11=10,VLOOKUP(Q42,Age,2,FALSE),IF(FacingSheet!$B$11=15,VLOOKUP(Q42,Age,3,FALSE),IF(FacingSheet!$B$11=25,VLOOKUP(Q42,Age,4,FALSE),IF(FacingSheet!$B$11=30,VLOOKUP(Q42,Age,5,FALSE),IF(FacingSheet!$B$11=50,VLOOKUP(Q42,Age,6,FALSE),IF(FacingSheet!$B$11=100,VLOOKUP(Q42,Age,7,FALSE),"")))))))</f>
        <v/>
      </c>
      <c r="S42" s="108" t="str">
        <f>IF(Q42="","",IF(FacingSheet!$B$11=10,VLOOKUP(Q42,AgeF,2,FALSE),IF(FacingSheet!$B$11=15,VLOOKUP(Q42,AgeF,3,FALSE),IF(FacingSheet!$B$11=25,VLOOKUP(Q42,AgeF,4,FALSE),IF(FacingSheet!$B$11=30,VLOOKUP(Q42,AgeF,5,FALSE),IF(FacingSheet!$B$11=50,VLOOKUP(Q42,AgeF,6,FALSE),IF(FacingSheet!$B$11=100,VLOOKUP(Q42,AgeF,7,FALSE),"")))))))</f>
        <v/>
      </c>
      <c r="T42" s="108" t="str">
        <f t="shared" si="2"/>
        <v/>
      </c>
      <c r="U42" s="29"/>
      <c r="V42" s="29"/>
      <c r="W42" s="29"/>
      <c r="X42" s="132"/>
      <c r="Y42" s="132"/>
      <c r="Z42" s="132"/>
    </row>
    <row r="43" spans="1:26">
      <c r="A43" s="36">
        <v>70</v>
      </c>
      <c r="B43" s="133" t="str">
        <f>"Christopher"</f>
        <v>Christopher</v>
      </c>
      <c r="C43" s="133" t="str">
        <f>"Little"</f>
        <v>Little</v>
      </c>
      <c r="D43" s="1" t="str">
        <f t="shared" si="0"/>
        <v>Christopher Little</v>
      </c>
      <c r="E43" s="29" t="str">
        <f>"Studio Velo"</f>
        <v>Studio Velo</v>
      </c>
      <c r="F43" s="29" t="s">
        <v>58</v>
      </c>
      <c r="G43" s="29" t="str">
        <f>"1705834"</f>
        <v>1705834</v>
      </c>
      <c r="H43" s="193">
        <v>1.3657407407407408E-2</v>
      </c>
      <c r="I43" s="131" t="str">
        <f>"07/03/1995"</f>
        <v>07/03/1995</v>
      </c>
      <c r="J43" s="100" t="str">
        <f>IF(FacingSheet!$B$11=10,IF(ISERROR(((((H43*1440)-20)*60)-(((H43*1440)-20)^1.6)*2.5)/86400),"",((((H43*1440)-20)*60)-(((H43*1440)-20)^1.6)*2.5)/86400),"")</f>
        <v/>
      </c>
      <c r="K43" s="100" t="str">
        <f>IF(FacingSheet!$B$11=15,IF(ISERROR(((((H43*1440)-33)*60)-(((H43*1440)-33)^1.6)*1.667)/86400),"",((((H43*1440)-33)*60)-(((H43*1440)-33)^1.6)*1.667)/86400),"")</f>
        <v/>
      </c>
      <c r="L43" s="100" t="str">
        <f>IF(FacingSheet!$B$11=25,IF(ISERROR(((((H43*1440)-50)*60)-(((H43*1440)-50)^1.6))/86400),"",((((H43*1440)-50)*60)-(((H43*1440)-50)^1.6))/86400),"")</f>
        <v/>
      </c>
      <c r="M43" s="100" t="str">
        <f>IF(FacingSheet!$B$11=30,IF(ISERROR(((((H43*1440)-60)*60)-((((H43*1440)-60)^1.6))/1.2)/86400),"",((((H43*1440)-60)*60)-((((H43*1440)-60)^1.6))/1.2)/86400),"")</f>
        <v/>
      </c>
      <c r="N43" s="100" t="str">
        <f>IF(FacingSheet!$B$11=50,IF(ISERROR(((((H43*1440)-105)*60)-((((H43*1440)-105)^1.6))/2)/86400),"",((((H43*1440)-105)*60)-((((H43*1440)-105)^1.6))/2)/86400),"")</f>
        <v/>
      </c>
      <c r="O43" s="100" t="str">
        <f>IF(FacingSheet!$B$11=100,IF(ISERROR(((((H43*1440)-230)*60)-((((H43*1440)-230)^1.6))/4)/86400),"",((((H43*1440)-230)*60)-((((H43*1440)-230)^1.6))/4)/86400),"")</f>
        <v/>
      </c>
      <c r="P43" s="108" t="str">
        <f>IF(FacingSheet!$B$11=10,J43,IF(FacingSheet!$B$11=15,K43,IF(FacingSheet!$B$11=25,L43,IF(FacingSheet!$B$11=30,M43,IF(FacingSheet!$B$11=50,N43,IF(FacingSheet!$B$11=100,O43,""))))))</f>
        <v/>
      </c>
      <c r="Q43" s="65" t="str">
        <f>IF(OR(F43="V",F43="FV"),IF(I43="","",IF(MONTH(FacingSheet!$S$9)&gt;MONTH(I43),YEAR(FacingSheet!$S$9)-YEAR(I43),IF(AND(MONTH(FacingSheet!$S$9)=MONTH(I43),DAY(FacingSheet!$S$9)&gt;=DAY(I43)),YEAR(FacingSheet!$S$9)-YEAR(I43),(YEAR(FacingSheet!$S$9)-YEAR(I43))-1))),"")</f>
        <v/>
      </c>
      <c r="R43" s="108" t="str">
        <f>IF(Q43="","",IF(FacingSheet!$B$11=10,VLOOKUP(Q43,Age,2,FALSE),IF(FacingSheet!$B$11=15,VLOOKUP(Q43,Age,3,FALSE),IF(FacingSheet!$B$11=25,VLOOKUP(Q43,Age,4,FALSE),IF(FacingSheet!$B$11=30,VLOOKUP(Q43,Age,5,FALSE),IF(FacingSheet!$B$11=50,VLOOKUP(Q43,Age,6,FALSE),IF(FacingSheet!$B$11=100,VLOOKUP(Q43,Age,7,FALSE),"")))))))</f>
        <v/>
      </c>
      <c r="S43" s="108" t="str">
        <f>IF(Q43="","",IF(FacingSheet!$B$11=10,VLOOKUP(Q43,AgeF,2,FALSE),IF(FacingSheet!$B$11=15,VLOOKUP(Q43,AgeF,3,FALSE),IF(FacingSheet!$B$11=25,VLOOKUP(Q43,AgeF,4,FALSE),IF(FacingSheet!$B$11=30,VLOOKUP(Q43,AgeF,5,FALSE),IF(FacingSheet!$B$11=50,VLOOKUP(Q43,AgeF,6,FALSE),IF(FacingSheet!$B$11=100,VLOOKUP(Q43,AgeF,7,FALSE),"")))))))</f>
        <v/>
      </c>
      <c r="T43" s="108" t="str">
        <f t="shared" si="2"/>
        <v/>
      </c>
      <c r="U43" s="29"/>
      <c r="V43" s="29"/>
      <c r="W43" s="29"/>
      <c r="X43" s="132"/>
      <c r="Y43" s="132"/>
      <c r="Z43" s="132"/>
    </row>
    <row r="44" spans="1:26">
      <c r="A44" s="36">
        <v>40</v>
      </c>
      <c r="B44" s="133" t="str">
        <f>"Daniel"</f>
        <v>Daniel</v>
      </c>
      <c r="C44" s="133" t="str">
        <f>"Long"</f>
        <v>Long</v>
      </c>
      <c r="D44" s="1" t="str">
        <f t="shared" si="0"/>
        <v>Daniel Long</v>
      </c>
      <c r="E44" s="29" t="str">
        <f>"Elgin CC"</f>
        <v>Elgin CC</v>
      </c>
      <c r="F44" s="29" t="s">
        <v>57</v>
      </c>
      <c r="G44" s="29" t="str">
        <f>"1382142"</f>
        <v>1382142</v>
      </c>
      <c r="H44" s="193">
        <v>1.4236111111111111E-2</v>
      </c>
      <c r="I44" s="131" t="str">
        <f>"08/09/1979"</f>
        <v>08/09/1979</v>
      </c>
      <c r="J44" s="100">
        <f>IF(FacingSheet!$B$11=10,IF(ISERROR(((((H44*1440)-20)*60)-(((H44*1440)-20)^1.6)*2.5)/86400),"",((((H44*1440)-20)*60)-(((H44*1440)-20)^1.6)*2.5)/86400),"")</f>
        <v>3.3767717078433962E-4</v>
      </c>
      <c r="K44" s="100" t="str">
        <f>IF(FacingSheet!$B$11=15,IF(ISERROR(((((H44*1440)-33)*60)-(((H44*1440)-33)^1.6)*1.667)/86400),"",((((H44*1440)-33)*60)-(((H44*1440)-33)^1.6)*1.667)/86400),"")</f>
        <v/>
      </c>
      <c r="L44" s="100" t="str">
        <f>IF(FacingSheet!$B$11=25,IF(ISERROR(((((H44*1440)-50)*60)-(((H44*1440)-50)^1.6))/86400),"",((((H44*1440)-50)*60)-(((H44*1440)-50)^1.6))/86400),"")</f>
        <v/>
      </c>
      <c r="M44" s="100" t="str">
        <f>IF(FacingSheet!$B$11=30,IF(ISERROR(((((H44*1440)-60)*60)-((((H44*1440)-60)^1.6))/1.2)/86400),"",((((H44*1440)-60)*60)-((((H44*1440)-60)^1.6))/1.2)/86400),"")</f>
        <v/>
      </c>
      <c r="N44" s="100" t="str">
        <f>IF(FacingSheet!$B$11=50,IF(ISERROR(((((H44*1440)-105)*60)-((((H44*1440)-105)^1.6))/2)/86400),"",((((H44*1440)-105)*60)-((((H44*1440)-105)^1.6))/2)/86400),"")</f>
        <v/>
      </c>
      <c r="O44" s="100" t="str">
        <f>IF(FacingSheet!$B$11=100,IF(ISERROR(((((H44*1440)-230)*60)-((((H44*1440)-230)^1.6))/4)/86400),"",((((H44*1440)-230)*60)-((((H44*1440)-230)^1.6))/4)/86400),"")</f>
        <v/>
      </c>
      <c r="P44" s="108">
        <f>IF(FacingSheet!$B$11=10,J44,IF(FacingSheet!$B$11=15,K44,IF(FacingSheet!$B$11=25,L44,IF(FacingSheet!$B$11=30,M44,IF(FacingSheet!$B$11=50,N44,IF(FacingSheet!$B$11=100,O44,""))))))</f>
        <v>3.3767717078433962E-4</v>
      </c>
      <c r="Q44" s="65">
        <f>IF(OR(F44="V",F44="FV"),IF(I44="","",IF(MONTH(FacingSheet!$S$9)&gt;MONTH(I44),YEAR(FacingSheet!$S$9)-YEAR(I44),IF(AND(MONTH(FacingSheet!$S$9)=MONTH(I44),DAY(FacingSheet!$S$9)&gt;=DAY(I44)),YEAR(FacingSheet!$S$9)-YEAR(I44),(YEAR(FacingSheet!$S$9)-YEAR(I44))-1))),"")</f>
        <v>45</v>
      </c>
      <c r="R44" s="108">
        <f>IF(Q44="","",IF(FacingSheet!$B$11=10,VLOOKUP(Q44,Age,2,FALSE),IF(FacingSheet!$B$11=15,VLOOKUP(Q44,Age,3,FALSE),IF(FacingSheet!$B$11=25,VLOOKUP(Q44,Age,4,FALSE),IF(FacingSheet!$B$11=30,VLOOKUP(Q44,Age,5,FALSE),IF(FacingSheet!$B$11=50,VLOOKUP(Q44,Age,6,FALSE),IF(FacingSheet!$B$11=100,VLOOKUP(Q44,Age,7,FALSE),"")))))))</f>
        <v>1.8368055555555554E-2</v>
      </c>
      <c r="S44" s="108">
        <f>IF(Q44="","",IF(FacingSheet!$B$11=10,VLOOKUP(Q44,AgeF,2,FALSE),IF(FacingSheet!$B$11=15,VLOOKUP(Q44,AgeF,3,FALSE),IF(FacingSheet!$B$11=25,VLOOKUP(Q44,AgeF,4,FALSE),IF(FacingSheet!$B$11=30,VLOOKUP(Q44,AgeF,5,FALSE),IF(FacingSheet!$B$11=50,VLOOKUP(Q44,AgeF,6,FALSE),IF(FacingSheet!$B$11=100,VLOOKUP(Q44,AgeF,7,FALSE),"")))))))</f>
        <v>1.9930555555555556E-2</v>
      </c>
      <c r="T44" s="108">
        <f t="shared" si="2"/>
        <v>1.8368055555555554E-2</v>
      </c>
      <c r="U44" s="29"/>
      <c r="V44" s="29"/>
      <c r="W44" s="29"/>
      <c r="X44" s="132"/>
      <c r="Y44" s="132"/>
      <c r="Z44" s="132"/>
    </row>
    <row r="45" spans="1:26">
      <c r="A45" s="36">
        <v>42</v>
      </c>
      <c r="B45" s="133" t="str">
        <f>"Martin"</f>
        <v>Martin</v>
      </c>
      <c r="C45" s="133" t="str">
        <f>"Lugg"</f>
        <v>Lugg</v>
      </c>
      <c r="D45" s="1" t="str">
        <f t="shared" si="0"/>
        <v>Martin Lugg</v>
      </c>
      <c r="E45" s="29" t="str">
        <f>"Revolution CT"</f>
        <v>Revolution CT</v>
      </c>
      <c r="F45" s="29" t="s">
        <v>57</v>
      </c>
      <c r="G45" s="29" t="str">
        <f>"442330"</f>
        <v>442330</v>
      </c>
      <c r="H45" s="193">
        <v>1.818287037037037E-2</v>
      </c>
      <c r="I45" s="131" t="str">
        <f>"21/03/1958"</f>
        <v>21/03/1958</v>
      </c>
      <c r="J45" s="100">
        <f>IF(FacingSheet!$B$11=10,IF(ISERROR(((((H45*1440)-20)*60)-(((H45*1440)-20)^1.6)*2.5)/86400),"",((((H45*1440)-20)*60)-(((H45*1440)-20)^1.6)*2.5)/86400),"")</f>
        <v>3.760176624577386E-3</v>
      </c>
      <c r="K45" s="100" t="str">
        <f>IF(FacingSheet!$B$11=15,IF(ISERROR(((((H45*1440)-33)*60)-(((H45*1440)-33)^1.6)*1.667)/86400),"",((((H45*1440)-33)*60)-(((H45*1440)-33)^1.6)*1.667)/86400),"")</f>
        <v/>
      </c>
      <c r="L45" s="100" t="str">
        <f>IF(FacingSheet!$B$11=25,IF(ISERROR(((((H45*1440)-50)*60)-(((H45*1440)-50)^1.6))/86400),"",((((H45*1440)-50)*60)-(((H45*1440)-50)^1.6))/86400),"")</f>
        <v/>
      </c>
      <c r="M45" s="100" t="str">
        <f>IF(FacingSheet!$B$11=30,IF(ISERROR(((((H45*1440)-60)*60)-((((H45*1440)-60)^1.6))/1.2)/86400),"",((((H45*1440)-60)*60)-((((H45*1440)-60)^1.6))/1.2)/86400),"")</f>
        <v/>
      </c>
      <c r="N45" s="100" t="str">
        <f>IF(FacingSheet!$B$11=50,IF(ISERROR(((((H45*1440)-105)*60)-((((H45*1440)-105)^1.6))/2)/86400),"",((((H45*1440)-105)*60)-((((H45*1440)-105)^1.6))/2)/86400),"")</f>
        <v/>
      </c>
      <c r="O45" s="100" t="str">
        <f>IF(FacingSheet!$B$11=100,IF(ISERROR(((((H45*1440)-230)*60)-((((H45*1440)-230)^1.6))/4)/86400),"",((((H45*1440)-230)*60)-((((H45*1440)-230)^1.6))/4)/86400),"")</f>
        <v/>
      </c>
      <c r="P45" s="108">
        <f>IF(FacingSheet!$B$11=10,J45,IF(FacingSheet!$B$11=15,K45,IF(FacingSheet!$B$11=25,L45,IF(FacingSheet!$B$11=30,M45,IF(FacingSheet!$B$11=50,N45,IF(FacingSheet!$B$11=100,O45,""))))))</f>
        <v>3.760176624577386E-3</v>
      </c>
      <c r="Q45" s="65">
        <f>IF(OR(F45="V",F45="FV"),IF(I45="","",IF(MONTH(FacingSheet!$S$9)&gt;MONTH(I45),YEAR(FacingSheet!$S$9)-YEAR(I45),IF(AND(MONTH(FacingSheet!$S$9)=MONTH(I45),DAY(FacingSheet!$S$9)&gt;=DAY(I45)),YEAR(FacingSheet!$S$9)-YEAR(I45),(YEAR(FacingSheet!$S$9)-YEAR(I45))-1))),"")</f>
        <v>67</v>
      </c>
      <c r="R45" s="108">
        <f>IF(Q45="","",IF(FacingSheet!$B$11=10,VLOOKUP(Q45,Age,2,FALSE),IF(FacingSheet!$B$11=15,VLOOKUP(Q45,Age,3,FALSE),IF(FacingSheet!$B$11=25,VLOOKUP(Q45,Age,4,FALSE),IF(FacingSheet!$B$11=30,VLOOKUP(Q45,Age,5,FALSE),IF(FacingSheet!$B$11=50,VLOOKUP(Q45,Age,6,FALSE),IF(FacingSheet!$B$11=100,VLOOKUP(Q45,Age,7,FALSE),"")))))))</f>
        <v>1.9791666666666666E-2</v>
      </c>
      <c r="S45" s="108">
        <f>IF(Q45="","",IF(FacingSheet!$B$11=10,VLOOKUP(Q45,AgeF,2,FALSE),IF(FacingSheet!$B$11=15,VLOOKUP(Q45,AgeF,3,FALSE),IF(FacingSheet!$B$11=25,VLOOKUP(Q45,AgeF,4,FALSE),IF(FacingSheet!$B$11=30,VLOOKUP(Q45,AgeF,5,FALSE),IF(FacingSheet!$B$11=50,VLOOKUP(Q45,AgeF,6,FALSE),IF(FacingSheet!$B$11=100,VLOOKUP(Q45,AgeF,7,FALSE),"")))))))</f>
        <v>2.150462962962963E-2</v>
      </c>
      <c r="T45" s="108">
        <f t="shared" si="2"/>
        <v>1.9791666666666666E-2</v>
      </c>
      <c r="U45" s="29"/>
      <c r="V45" s="29"/>
      <c r="W45" s="29"/>
      <c r="X45" s="132"/>
      <c r="Y45" s="132"/>
      <c r="Z45" s="132"/>
    </row>
    <row r="46" spans="1:26">
      <c r="A46" s="36">
        <v>47</v>
      </c>
      <c r="B46" s="133" t="str">
        <f>"Douglas"</f>
        <v>Douglas</v>
      </c>
      <c r="C46" s="133" t="str">
        <f>"Macdonald"</f>
        <v>Macdonald</v>
      </c>
      <c r="D46" s="1" t="str">
        <f t="shared" si="0"/>
        <v>Douglas Macdonald</v>
      </c>
      <c r="E46" s="29" t="str">
        <f>"Fullarton Wheelers Cycling Club"</f>
        <v>Fullarton Wheelers Cycling Club</v>
      </c>
      <c r="F46" s="29" t="s">
        <v>57</v>
      </c>
      <c r="G46" s="29" t="str">
        <f>"430399"</f>
        <v>430399</v>
      </c>
      <c r="H46" s="193">
        <v>1.545138888888889E-2</v>
      </c>
      <c r="I46" s="131" t="str">
        <f>"12/04/1960"</f>
        <v>12/04/1960</v>
      </c>
      <c r="J46" s="100">
        <f>IF(FacingSheet!$B$11=10,IF(ISERROR(((((H46*1440)-20)*60)-(((H46*1440)-20)^1.6)*2.5)/86400),"",((((H46*1440)-20)*60)-(((H46*1440)-20)^1.6)*2.5)/86400),"")</f>
        <v>1.4565945535939748E-3</v>
      </c>
      <c r="K46" s="100" t="str">
        <f>IF(FacingSheet!$B$11=15,IF(ISERROR(((((H46*1440)-33)*60)-(((H46*1440)-33)^1.6)*1.667)/86400),"",((((H46*1440)-33)*60)-(((H46*1440)-33)^1.6)*1.667)/86400),"")</f>
        <v/>
      </c>
      <c r="L46" s="100" t="str">
        <f>IF(FacingSheet!$B$11=25,IF(ISERROR(((((H46*1440)-50)*60)-(((H46*1440)-50)^1.6))/86400),"",((((H46*1440)-50)*60)-(((H46*1440)-50)^1.6))/86400),"")</f>
        <v/>
      </c>
      <c r="M46" s="100" t="str">
        <f>IF(FacingSheet!$B$11=30,IF(ISERROR(((((H46*1440)-60)*60)-((((H46*1440)-60)^1.6))/1.2)/86400),"",((((H46*1440)-60)*60)-((((H46*1440)-60)^1.6))/1.2)/86400),"")</f>
        <v/>
      </c>
      <c r="N46" s="100" t="str">
        <f>IF(FacingSheet!$B$11=50,IF(ISERROR(((((H46*1440)-105)*60)-((((H46*1440)-105)^1.6))/2)/86400),"",((((H46*1440)-105)*60)-((((H46*1440)-105)^1.6))/2)/86400),"")</f>
        <v/>
      </c>
      <c r="O46" s="100" t="str">
        <f>IF(FacingSheet!$B$11=100,IF(ISERROR(((((H46*1440)-230)*60)-((((H46*1440)-230)^1.6))/4)/86400),"",((((H46*1440)-230)*60)-((((H46*1440)-230)^1.6))/4)/86400),"")</f>
        <v/>
      </c>
      <c r="P46" s="108">
        <f>IF(FacingSheet!$B$11=10,J46,IF(FacingSheet!$B$11=15,K46,IF(FacingSheet!$B$11=25,L46,IF(FacingSheet!$B$11=30,M46,IF(FacingSheet!$B$11=50,N46,IF(FacingSheet!$B$11=100,O46,""))))))</f>
        <v>1.4565945535939748E-3</v>
      </c>
      <c r="Q46" s="65">
        <f>IF(OR(F46="V",F46="FV"),IF(I46="","",IF(MONTH(FacingSheet!$S$9)&gt;MONTH(I46),YEAR(FacingSheet!$S$9)-YEAR(I46),IF(AND(MONTH(FacingSheet!$S$9)=MONTH(I46),DAY(FacingSheet!$S$9)&gt;=DAY(I46)),YEAR(FacingSheet!$S$9)-YEAR(I46),(YEAR(FacingSheet!$S$9)-YEAR(I46))-1))),"")</f>
        <v>65</v>
      </c>
      <c r="R46" s="108">
        <f>IF(Q46="","",IF(FacingSheet!$B$11=10,VLOOKUP(Q46,Age,2,FALSE),IF(FacingSheet!$B$11=15,VLOOKUP(Q46,Age,3,FALSE),IF(FacingSheet!$B$11=25,VLOOKUP(Q46,Age,4,FALSE),IF(FacingSheet!$B$11=30,VLOOKUP(Q46,Age,5,FALSE),IF(FacingSheet!$B$11=50,VLOOKUP(Q46,Age,6,FALSE),IF(FacingSheet!$B$11=100,VLOOKUP(Q46,Age,7,FALSE),"")))))))</f>
        <v>1.9594907407407408E-2</v>
      </c>
      <c r="S46" s="108">
        <f>IF(Q46="","",IF(FacingSheet!$B$11=10,VLOOKUP(Q46,AgeF,2,FALSE),IF(FacingSheet!$B$11=15,VLOOKUP(Q46,AgeF,3,FALSE),IF(FacingSheet!$B$11=25,VLOOKUP(Q46,AgeF,4,FALSE),IF(FacingSheet!$B$11=30,VLOOKUP(Q46,AgeF,5,FALSE),IF(FacingSheet!$B$11=50,VLOOKUP(Q46,AgeF,6,FALSE),IF(FacingSheet!$B$11=100,VLOOKUP(Q46,AgeF,7,FALSE),"")))))))</f>
        <v>2.1296296296296296E-2</v>
      </c>
      <c r="T46" s="108">
        <f t="shared" si="2"/>
        <v>1.9594907407407408E-2</v>
      </c>
      <c r="U46" s="29"/>
      <c r="V46" s="29"/>
      <c r="W46" s="29"/>
      <c r="X46" s="132"/>
      <c r="Y46" s="132"/>
      <c r="Z46" s="132"/>
    </row>
    <row r="47" spans="1:26">
      <c r="A47" s="36">
        <v>64</v>
      </c>
      <c r="B47" s="133" t="str">
        <f>"Michael"</f>
        <v>Michael</v>
      </c>
      <c r="C47" s="133" t="str">
        <f>"Maciver"</f>
        <v>Maciver</v>
      </c>
      <c r="D47" s="1" t="str">
        <f t="shared" si="0"/>
        <v>Michael Maciver</v>
      </c>
      <c r="E47" s="29" t="str">
        <f>"Ross-Shire RCC"</f>
        <v>Ross-Shire RCC</v>
      </c>
      <c r="F47" s="29" t="s">
        <v>58</v>
      </c>
      <c r="G47" s="29" t="str">
        <f>"1053476"</f>
        <v>1053476</v>
      </c>
      <c r="H47" s="193">
        <v>1.6643518518518519E-2</v>
      </c>
      <c r="I47" s="131" t="str">
        <f>"30/10/1985"</f>
        <v>30/10/1985</v>
      </c>
      <c r="J47" s="100">
        <f>IF(FacingSheet!$B$11=10,IF(ISERROR(((((H47*1440)-20)*60)-(((H47*1440)-20)^1.6)*2.5)/86400),"",((((H47*1440)-20)*60)-(((H47*1440)-20)^1.6)*2.5)/86400),"")</f>
        <v>2.4922637246424678E-3</v>
      </c>
      <c r="K47" s="100" t="str">
        <f>IF(FacingSheet!$B$11=15,IF(ISERROR(((((H47*1440)-33)*60)-(((H47*1440)-33)^1.6)*1.667)/86400),"",((((H47*1440)-33)*60)-(((H47*1440)-33)^1.6)*1.667)/86400),"")</f>
        <v/>
      </c>
      <c r="L47" s="100" t="str">
        <f>IF(FacingSheet!$B$11=25,IF(ISERROR(((((H47*1440)-50)*60)-(((H47*1440)-50)^1.6))/86400),"",((((H47*1440)-50)*60)-(((H47*1440)-50)^1.6))/86400),"")</f>
        <v/>
      </c>
      <c r="M47" s="100" t="str">
        <f>IF(FacingSheet!$B$11=30,IF(ISERROR(((((H47*1440)-60)*60)-((((H47*1440)-60)^1.6))/1.2)/86400),"",((((H47*1440)-60)*60)-((((H47*1440)-60)^1.6))/1.2)/86400),"")</f>
        <v/>
      </c>
      <c r="N47" s="100" t="str">
        <f>IF(FacingSheet!$B$11=50,IF(ISERROR(((((H47*1440)-105)*60)-((((H47*1440)-105)^1.6))/2)/86400),"",((((H47*1440)-105)*60)-((((H47*1440)-105)^1.6))/2)/86400),"")</f>
        <v/>
      </c>
      <c r="O47" s="100" t="str">
        <f>IF(FacingSheet!$B$11=100,IF(ISERROR(((((H47*1440)-230)*60)-((((H47*1440)-230)^1.6))/4)/86400),"",((((H47*1440)-230)*60)-((((H47*1440)-230)^1.6))/4)/86400),"")</f>
        <v/>
      </c>
      <c r="P47" s="108">
        <f>IF(FacingSheet!$B$11=10,J47,IF(FacingSheet!$B$11=15,K47,IF(FacingSheet!$B$11=25,L47,IF(FacingSheet!$B$11=30,M47,IF(FacingSheet!$B$11=50,N47,IF(FacingSheet!$B$11=100,O47,""))))))</f>
        <v>2.4922637246424678E-3</v>
      </c>
      <c r="Q47" s="65" t="str">
        <f>IF(OR(F47="V",F47="FV"),IF(I47="","",IF(MONTH(FacingSheet!$S$9)&gt;MONTH(I47),YEAR(FacingSheet!$S$9)-YEAR(I47),IF(AND(MONTH(FacingSheet!$S$9)=MONTH(I47),DAY(FacingSheet!$S$9)&gt;=DAY(I47)),YEAR(FacingSheet!$S$9)-YEAR(I47),(YEAR(FacingSheet!$S$9)-YEAR(I47))-1))),"")</f>
        <v/>
      </c>
      <c r="R47" s="108" t="str">
        <f>IF(Q47="","",IF(FacingSheet!$B$11=10,VLOOKUP(Q47,Age,2,FALSE),IF(FacingSheet!$B$11=15,VLOOKUP(Q47,Age,3,FALSE),IF(FacingSheet!$B$11=25,VLOOKUP(Q47,Age,4,FALSE),IF(FacingSheet!$B$11=30,VLOOKUP(Q47,Age,5,FALSE),IF(FacingSheet!$B$11=50,VLOOKUP(Q47,Age,6,FALSE),IF(FacingSheet!$B$11=100,VLOOKUP(Q47,Age,7,FALSE),"")))))))</f>
        <v/>
      </c>
      <c r="S47" s="108" t="str">
        <f>IF(Q47="","",IF(FacingSheet!$B$11=10,VLOOKUP(Q47,AgeF,2,FALSE),IF(FacingSheet!$B$11=15,VLOOKUP(Q47,AgeF,3,FALSE),IF(FacingSheet!$B$11=25,VLOOKUP(Q47,AgeF,4,FALSE),IF(FacingSheet!$B$11=30,VLOOKUP(Q47,AgeF,5,FALSE),IF(FacingSheet!$B$11=50,VLOOKUP(Q47,AgeF,6,FALSE),IF(FacingSheet!$B$11=100,VLOOKUP(Q47,AgeF,7,FALSE),"")))))))</f>
        <v/>
      </c>
      <c r="T47" s="108" t="str">
        <f t="shared" si="2"/>
        <v/>
      </c>
      <c r="U47" s="29"/>
      <c r="V47" s="29"/>
      <c r="W47" s="29"/>
      <c r="X47" s="132"/>
      <c r="Y47" s="132"/>
      <c r="Z47" s="132"/>
    </row>
    <row r="48" spans="1:26">
      <c r="A48" s="36">
        <v>2</v>
      </c>
      <c r="B48" s="133" t="str">
        <f>"Stan"</f>
        <v>Stan</v>
      </c>
      <c r="C48" s="133" t="str">
        <f>"MacKenzie"</f>
        <v>MacKenzie</v>
      </c>
      <c r="D48" s="1" t="str">
        <f t="shared" si="0"/>
        <v>Stan MacKenzie</v>
      </c>
      <c r="E48" s="29" t="str">
        <f>"Ross-Shire RCC"</f>
        <v>Ross-Shire RCC</v>
      </c>
      <c r="F48" s="29" t="s">
        <v>57</v>
      </c>
      <c r="G48" s="29" t="str">
        <f>"1062018"</f>
        <v>1062018</v>
      </c>
      <c r="H48" s="193">
        <v>1.9108796296296297E-2</v>
      </c>
      <c r="I48" s="131" t="str">
        <f>"13/08/1962"</f>
        <v>13/08/1962</v>
      </c>
      <c r="J48" s="100">
        <f>IF(FacingSheet!$B$11=10,IF(ISERROR(((((H48*1440)-20)*60)-(((H48*1440)-20)^1.6)*2.5)/86400),"",((((H48*1440)-20)*60)-(((H48*1440)-20)^1.6)*2.5)/86400),"")</f>
        <v>4.4903378019576466E-3</v>
      </c>
      <c r="K48" s="100" t="str">
        <f>IF(FacingSheet!$B$11=15,IF(ISERROR(((((H48*1440)-33)*60)-(((H48*1440)-33)^1.6)*1.667)/86400),"",((((H48*1440)-33)*60)-(((H48*1440)-33)^1.6)*1.667)/86400),"")</f>
        <v/>
      </c>
      <c r="L48" s="100" t="str">
        <f>IF(FacingSheet!$B$11=25,IF(ISERROR(((((H48*1440)-50)*60)-(((H48*1440)-50)^1.6))/86400),"",((((H48*1440)-50)*60)-(((H48*1440)-50)^1.6))/86400),"")</f>
        <v/>
      </c>
      <c r="M48" s="100" t="str">
        <f>IF(FacingSheet!$B$11=30,IF(ISERROR(((((H48*1440)-60)*60)-((((H48*1440)-60)^1.6))/1.2)/86400),"",((((H48*1440)-60)*60)-((((H48*1440)-60)^1.6))/1.2)/86400),"")</f>
        <v/>
      </c>
      <c r="N48" s="100" t="str">
        <f>IF(FacingSheet!$B$11=50,IF(ISERROR(((((H48*1440)-105)*60)-((((H48*1440)-105)^1.6))/2)/86400),"",((((H48*1440)-105)*60)-((((H48*1440)-105)^1.6))/2)/86400),"")</f>
        <v/>
      </c>
      <c r="O48" s="100" t="str">
        <f>IF(FacingSheet!$B$11=100,IF(ISERROR(((((H48*1440)-230)*60)-((((H48*1440)-230)^1.6))/4)/86400),"",((((H48*1440)-230)*60)-((((H48*1440)-230)^1.6))/4)/86400),"")</f>
        <v/>
      </c>
      <c r="P48" s="108">
        <f>IF(FacingSheet!$B$11=10,J48,IF(FacingSheet!$B$11=15,K48,IF(FacingSheet!$B$11=25,L48,IF(FacingSheet!$B$11=30,M48,IF(FacingSheet!$B$11=50,N48,IF(FacingSheet!$B$11=100,O48,""))))))</f>
        <v>4.4903378019576466E-3</v>
      </c>
      <c r="Q48" s="65">
        <f>IF(OR(F48="V",F48="FV"),IF(I48="","",IF(MONTH(FacingSheet!$S$9)&gt;MONTH(I48),YEAR(FacingSheet!$S$9)-YEAR(I48),IF(AND(MONTH(FacingSheet!$S$9)=MONTH(I48),DAY(FacingSheet!$S$9)&gt;=DAY(I48)),YEAR(FacingSheet!$S$9)-YEAR(I48),(YEAR(FacingSheet!$S$9)-YEAR(I48))-1))),"")</f>
        <v>63</v>
      </c>
      <c r="R48" s="108">
        <f>IF(Q48="","",IF(FacingSheet!$B$11=10,VLOOKUP(Q48,Age,2,FALSE),IF(FacingSheet!$B$11=15,VLOOKUP(Q48,Age,3,FALSE),IF(FacingSheet!$B$11=25,VLOOKUP(Q48,Age,4,FALSE),IF(FacingSheet!$B$11=30,VLOOKUP(Q48,Age,5,FALSE),IF(FacingSheet!$B$11=50,VLOOKUP(Q48,Age,6,FALSE),IF(FacingSheet!$B$11=100,VLOOKUP(Q48,Age,7,FALSE),"")))))))</f>
        <v>1.9432870370370371E-2</v>
      </c>
      <c r="S48" s="108">
        <f>IF(Q48="","",IF(FacingSheet!$B$11=10,VLOOKUP(Q48,AgeF,2,FALSE),IF(FacingSheet!$B$11=15,VLOOKUP(Q48,AgeF,3,FALSE),IF(FacingSheet!$B$11=25,VLOOKUP(Q48,AgeF,4,FALSE),IF(FacingSheet!$B$11=30,VLOOKUP(Q48,AgeF,5,FALSE),IF(FacingSheet!$B$11=50,VLOOKUP(Q48,AgeF,6,FALSE),IF(FacingSheet!$B$11=100,VLOOKUP(Q48,AgeF,7,FALSE),"")))))))</f>
        <v>2.1111111111111112E-2</v>
      </c>
      <c r="T48" s="108">
        <f t="shared" si="2"/>
        <v>1.9432870370370371E-2</v>
      </c>
      <c r="U48" s="29"/>
      <c r="V48" s="29"/>
      <c r="W48" s="29"/>
      <c r="X48" s="132"/>
      <c r="Y48" s="132"/>
      <c r="Z48" s="132"/>
    </row>
    <row r="49" spans="1:26">
      <c r="A49" s="36">
        <v>46</v>
      </c>
      <c r="B49" s="133" t="str">
        <f>"Paul"</f>
        <v>Paul</v>
      </c>
      <c r="C49" s="133" t="str">
        <f>"Mason"</f>
        <v>Mason</v>
      </c>
      <c r="D49" s="1" t="str">
        <f t="shared" si="0"/>
        <v>Paul Mason</v>
      </c>
      <c r="E49" s="29" t="str">
        <f>"Royal Navy Cycling"</f>
        <v>Royal Navy Cycling</v>
      </c>
      <c r="F49" s="29" t="s">
        <v>57</v>
      </c>
      <c r="G49" s="29" t="str">
        <f>"1821975"</f>
        <v>1821975</v>
      </c>
      <c r="H49" s="193">
        <v>2.193287037037037E-2</v>
      </c>
      <c r="I49" s="131" t="str">
        <f>"22/03/1971"</f>
        <v>22/03/1971</v>
      </c>
      <c r="J49" s="100">
        <f>IF(FacingSheet!$B$11=10,IF(ISERROR(((((H49*1440)-20)*60)-(((H49*1440)-20)^1.6)*2.5)/86400),"",((((H49*1440)-20)*60)-(((H49*1440)-20)^1.6)*2.5)/86400),"")</f>
        <v>6.5866446100791435E-3</v>
      </c>
      <c r="K49" s="100" t="str">
        <f>IF(FacingSheet!$B$11=15,IF(ISERROR(((((H49*1440)-33)*60)-(((H49*1440)-33)^1.6)*1.667)/86400),"",((((H49*1440)-33)*60)-(((H49*1440)-33)^1.6)*1.667)/86400),"")</f>
        <v/>
      </c>
      <c r="L49" s="100" t="str">
        <f>IF(FacingSheet!$B$11=25,IF(ISERROR(((((H49*1440)-50)*60)-(((H49*1440)-50)^1.6))/86400),"",((((H49*1440)-50)*60)-(((H49*1440)-50)^1.6))/86400),"")</f>
        <v/>
      </c>
      <c r="M49" s="100" t="str">
        <f>IF(FacingSheet!$B$11=30,IF(ISERROR(((((H49*1440)-60)*60)-((((H49*1440)-60)^1.6))/1.2)/86400),"",((((H49*1440)-60)*60)-((((H49*1440)-60)^1.6))/1.2)/86400),"")</f>
        <v/>
      </c>
      <c r="N49" s="100" t="str">
        <f>IF(FacingSheet!$B$11=50,IF(ISERROR(((((H49*1440)-105)*60)-((((H49*1440)-105)^1.6))/2)/86400),"",((((H49*1440)-105)*60)-((((H49*1440)-105)^1.6))/2)/86400),"")</f>
        <v/>
      </c>
      <c r="O49" s="100" t="str">
        <f>IF(FacingSheet!$B$11=100,IF(ISERROR(((((H49*1440)-230)*60)-((((H49*1440)-230)^1.6))/4)/86400),"",((((H49*1440)-230)*60)-((((H49*1440)-230)^1.6))/4)/86400),"")</f>
        <v/>
      </c>
      <c r="P49" s="108">
        <f>IF(FacingSheet!$B$11=10,J49,IF(FacingSheet!$B$11=15,K49,IF(FacingSheet!$B$11=25,L49,IF(FacingSheet!$B$11=30,M49,IF(FacingSheet!$B$11=50,N49,IF(FacingSheet!$B$11=100,O49,""))))))</f>
        <v>6.5866446100791435E-3</v>
      </c>
      <c r="Q49" s="65">
        <f>IF(OR(F49="V",F49="FV"),IF(I49="","",IF(MONTH(FacingSheet!$S$9)&gt;MONTH(I49),YEAR(FacingSheet!$S$9)-YEAR(I49),IF(AND(MONTH(FacingSheet!$S$9)=MONTH(I49),DAY(FacingSheet!$S$9)&gt;=DAY(I49)),YEAR(FacingSheet!$S$9)-YEAR(I49),(YEAR(FacingSheet!$S$9)-YEAR(I49))-1))),"")</f>
        <v>54</v>
      </c>
      <c r="R49" s="108">
        <f>IF(Q49="","",IF(FacingSheet!$B$11=10,VLOOKUP(Q49,Age,2,FALSE),IF(FacingSheet!$B$11=15,VLOOKUP(Q49,Age,3,FALSE),IF(FacingSheet!$B$11=25,VLOOKUP(Q49,Age,4,FALSE),IF(FacingSheet!$B$11=30,VLOOKUP(Q49,Age,5,FALSE),IF(FacingSheet!$B$11=50,VLOOKUP(Q49,Age,6,FALSE),IF(FacingSheet!$B$11=100,VLOOKUP(Q49,Age,7,FALSE),"")))))))</f>
        <v>1.8831018518518518E-2</v>
      </c>
      <c r="S49" s="108">
        <f>IF(Q49="","",IF(FacingSheet!$B$11=10,VLOOKUP(Q49,AgeF,2,FALSE),IF(FacingSheet!$B$11=15,VLOOKUP(Q49,AgeF,3,FALSE),IF(FacingSheet!$B$11=25,VLOOKUP(Q49,AgeF,4,FALSE),IF(FacingSheet!$B$11=30,VLOOKUP(Q49,AgeF,5,FALSE),IF(FacingSheet!$B$11=50,VLOOKUP(Q49,AgeF,6,FALSE),IF(FacingSheet!$B$11=100,VLOOKUP(Q49,AgeF,7,FALSE),"")))))))</f>
        <v>2.045138888888889E-2</v>
      </c>
      <c r="T49" s="108">
        <f t="shared" si="2"/>
        <v>1.8831018518518518E-2</v>
      </c>
      <c r="U49" s="29"/>
      <c r="V49" s="29"/>
      <c r="W49" s="29"/>
      <c r="X49" s="132"/>
      <c r="Y49" s="132"/>
      <c r="Z49" s="132"/>
    </row>
    <row r="50" spans="1:26">
      <c r="A50" s="36">
        <v>63</v>
      </c>
      <c r="B50" s="133" t="str">
        <f>"Alan"</f>
        <v>Alan</v>
      </c>
      <c r="C50" s="133" t="str">
        <f>"McCaffrey"</f>
        <v>McCaffrey</v>
      </c>
      <c r="D50" s="1" t="str">
        <f t="shared" si="0"/>
        <v>Alan McCaffrey</v>
      </c>
      <c r="E50" s="29" t="str">
        <f>"Moray Firth Cycling Club"</f>
        <v>Moray Firth Cycling Club</v>
      </c>
      <c r="F50" s="29" t="s">
        <v>57</v>
      </c>
      <c r="G50" s="29" t="str">
        <f>"428942"</f>
        <v>428942</v>
      </c>
      <c r="H50" s="193">
        <v>1.4895833333333334E-2</v>
      </c>
      <c r="I50" s="131" t="str">
        <f>"22/10/1970"</f>
        <v>22/10/1970</v>
      </c>
      <c r="J50" s="100">
        <f>IF(FacingSheet!$B$11=10,IF(ISERROR(((((H50*1440)-20)*60)-(((H50*1440)-20)^1.6)*2.5)/86400),"",((((H50*1440)-20)*60)-(((H50*1440)-20)^1.6)*2.5)/86400),"")</f>
        <v>9.5451019331304569E-4</v>
      </c>
      <c r="K50" s="100" t="str">
        <f>IF(FacingSheet!$B$11=15,IF(ISERROR(((((H50*1440)-33)*60)-(((H50*1440)-33)^1.6)*1.667)/86400),"",((((H50*1440)-33)*60)-(((H50*1440)-33)^1.6)*1.667)/86400),"")</f>
        <v/>
      </c>
      <c r="L50" s="100" t="str">
        <f>IF(FacingSheet!$B$11=25,IF(ISERROR(((((H50*1440)-50)*60)-(((H50*1440)-50)^1.6))/86400),"",((((H50*1440)-50)*60)-(((H50*1440)-50)^1.6))/86400),"")</f>
        <v/>
      </c>
      <c r="M50" s="100" t="str">
        <f>IF(FacingSheet!$B$11=30,IF(ISERROR(((((H50*1440)-60)*60)-((((H50*1440)-60)^1.6))/1.2)/86400),"",((((H50*1440)-60)*60)-((((H50*1440)-60)^1.6))/1.2)/86400),"")</f>
        <v/>
      </c>
      <c r="N50" s="100" t="str">
        <f>IF(FacingSheet!$B$11=50,IF(ISERROR(((((H50*1440)-105)*60)-((((H50*1440)-105)^1.6))/2)/86400),"",((((H50*1440)-105)*60)-((((H50*1440)-105)^1.6))/2)/86400),"")</f>
        <v/>
      </c>
      <c r="O50" s="100" t="str">
        <f>IF(FacingSheet!$B$11=100,IF(ISERROR(((((H50*1440)-230)*60)-((((H50*1440)-230)^1.6))/4)/86400),"",((((H50*1440)-230)*60)-((((H50*1440)-230)^1.6))/4)/86400),"")</f>
        <v/>
      </c>
      <c r="P50" s="108">
        <f>IF(FacingSheet!$B$11=10,J50,IF(FacingSheet!$B$11=15,K50,IF(FacingSheet!$B$11=25,L50,IF(FacingSheet!$B$11=30,M50,IF(FacingSheet!$B$11=50,N50,IF(FacingSheet!$B$11=100,O50,""))))))</f>
        <v>9.5451019331304569E-4</v>
      </c>
      <c r="Q50" s="65">
        <f>IF(OR(F50="V",F50="FV"),IF(I50="","",IF(MONTH(FacingSheet!$S$9)&gt;MONTH(I50),YEAR(FacingSheet!$S$9)-YEAR(I50),IF(AND(MONTH(FacingSheet!$S$9)=MONTH(I50),DAY(FacingSheet!$S$9)&gt;=DAY(I50)),YEAR(FacingSheet!$S$9)-YEAR(I50),(YEAR(FacingSheet!$S$9)-YEAR(I50))-1))),"")</f>
        <v>54</v>
      </c>
      <c r="R50" s="108">
        <f>IF(Q50="","",IF(FacingSheet!$B$11=10,VLOOKUP(Q50,Age,2,FALSE),IF(FacingSheet!$B$11=15,VLOOKUP(Q50,Age,3,FALSE),IF(FacingSheet!$B$11=25,VLOOKUP(Q50,Age,4,FALSE),IF(FacingSheet!$B$11=30,VLOOKUP(Q50,Age,5,FALSE),IF(FacingSheet!$B$11=50,VLOOKUP(Q50,Age,6,FALSE),IF(FacingSheet!$B$11=100,VLOOKUP(Q50,Age,7,FALSE),"")))))))</f>
        <v>1.8831018518518518E-2</v>
      </c>
      <c r="S50" s="108">
        <f>IF(Q50="","",IF(FacingSheet!$B$11=10,VLOOKUP(Q50,AgeF,2,FALSE),IF(FacingSheet!$B$11=15,VLOOKUP(Q50,AgeF,3,FALSE),IF(FacingSheet!$B$11=25,VLOOKUP(Q50,AgeF,4,FALSE),IF(FacingSheet!$B$11=30,VLOOKUP(Q50,AgeF,5,FALSE),IF(FacingSheet!$B$11=50,VLOOKUP(Q50,AgeF,6,FALSE),IF(FacingSheet!$B$11=100,VLOOKUP(Q50,AgeF,7,FALSE),"")))))))</f>
        <v>2.045138888888889E-2</v>
      </c>
      <c r="T50" s="108">
        <f t="shared" si="2"/>
        <v>1.8831018518518518E-2</v>
      </c>
      <c r="U50" s="29"/>
      <c r="V50" s="29"/>
      <c r="W50" s="29"/>
      <c r="X50" s="132"/>
      <c r="Y50" s="132"/>
      <c r="Z50" s="132"/>
    </row>
    <row r="51" spans="1:26">
      <c r="A51" s="36">
        <v>14</v>
      </c>
      <c r="B51" s="133" t="str">
        <f>"Michael"</f>
        <v>Michael</v>
      </c>
      <c r="C51" s="133" t="str">
        <f>"Mcinnes"</f>
        <v>Mcinnes</v>
      </c>
      <c r="D51" s="1" t="str">
        <f t="shared" si="0"/>
        <v>Michael Mcinnes</v>
      </c>
      <c r="E51" s="29" t="str">
        <f>"Moray Firth Cycling Club"</f>
        <v>Moray Firth Cycling Club</v>
      </c>
      <c r="F51" s="29" t="s">
        <v>57</v>
      </c>
      <c r="G51" s="29" t="str">
        <f>"1807438"</f>
        <v>1807438</v>
      </c>
      <c r="H51" s="193">
        <v>1.6979166666666667E-2</v>
      </c>
      <c r="I51" s="131" t="str">
        <f>"06/01/1982"</f>
        <v>06/01/1982</v>
      </c>
      <c r="J51" s="100">
        <f>IF(FacingSheet!$B$11=10,IF(ISERROR(((((H51*1440)-20)*60)-(((H51*1440)-20)^1.6)*2.5)/86400),"",((((H51*1440)-20)*60)-(((H51*1440)-20)^1.6)*2.5)/86400),"")</f>
        <v>2.7749209170047861E-3</v>
      </c>
      <c r="K51" s="100" t="str">
        <f>IF(FacingSheet!$B$11=15,IF(ISERROR(((((H51*1440)-33)*60)-(((H51*1440)-33)^1.6)*1.667)/86400),"",((((H51*1440)-33)*60)-(((H51*1440)-33)^1.6)*1.667)/86400),"")</f>
        <v/>
      </c>
      <c r="L51" s="100" t="str">
        <f>IF(FacingSheet!$B$11=25,IF(ISERROR(((((H51*1440)-50)*60)-(((H51*1440)-50)^1.6))/86400),"",((((H51*1440)-50)*60)-(((H51*1440)-50)^1.6))/86400),"")</f>
        <v/>
      </c>
      <c r="M51" s="100" t="str">
        <f>IF(FacingSheet!$B$11=30,IF(ISERROR(((((H51*1440)-60)*60)-((((H51*1440)-60)^1.6))/1.2)/86400),"",((((H51*1440)-60)*60)-((((H51*1440)-60)^1.6))/1.2)/86400),"")</f>
        <v/>
      </c>
      <c r="N51" s="100" t="str">
        <f>IF(FacingSheet!$B$11=50,IF(ISERROR(((((H51*1440)-105)*60)-((((H51*1440)-105)^1.6))/2)/86400),"",((((H51*1440)-105)*60)-((((H51*1440)-105)^1.6))/2)/86400),"")</f>
        <v/>
      </c>
      <c r="O51" s="100" t="str">
        <f>IF(FacingSheet!$B$11=100,IF(ISERROR(((((H51*1440)-230)*60)-((((H51*1440)-230)^1.6))/4)/86400),"",((((H51*1440)-230)*60)-((((H51*1440)-230)^1.6))/4)/86400),"")</f>
        <v/>
      </c>
      <c r="P51" s="108">
        <f>IF(FacingSheet!$B$11=10,J51,IF(FacingSheet!$B$11=15,K51,IF(FacingSheet!$B$11=25,L51,IF(FacingSheet!$B$11=30,M51,IF(FacingSheet!$B$11=50,N51,IF(FacingSheet!$B$11=100,O51,""))))))</f>
        <v>2.7749209170047861E-3</v>
      </c>
      <c r="Q51" s="65">
        <f>IF(OR(F51="V",F51="FV"),IF(I51="","",IF(MONTH(FacingSheet!$S$9)&gt;MONTH(I51),YEAR(FacingSheet!$S$9)-YEAR(I51),IF(AND(MONTH(FacingSheet!$S$9)=MONTH(I51),DAY(FacingSheet!$S$9)&gt;=DAY(I51)),YEAR(FacingSheet!$S$9)-YEAR(I51),(YEAR(FacingSheet!$S$9)-YEAR(I51))-1))),"")</f>
        <v>43</v>
      </c>
      <c r="R51" s="108">
        <f>IF(Q51="","",IF(FacingSheet!$B$11=10,VLOOKUP(Q51,Age,2,FALSE),IF(FacingSheet!$B$11=15,VLOOKUP(Q51,Age,3,FALSE),IF(FacingSheet!$B$11=25,VLOOKUP(Q51,Age,4,FALSE),IF(FacingSheet!$B$11=30,VLOOKUP(Q51,Age,5,FALSE),IF(FacingSheet!$B$11=50,VLOOKUP(Q51,Age,6,FALSE),IF(FacingSheet!$B$11=100,VLOOKUP(Q51,Age,7,FALSE),"")))))))</f>
        <v>1.8252314814814815E-2</v>
      </c>
      <c r="S51" s="108">
        <f>IF(Q51="","",IF(FacingSheet!$B$11=10,VLOOKUP(Q51,AgeF,2,FALSE),IF(FacingSheet!$B$11=15,VLOOKUP(Q51,AgeF,3,FALSE),IF(FacingSheet!$B$11=25,VLOOKUP(Q51,AgeF,4,FALSE),IF(FacingSheet!$B$11=30,VLOOKUP(Q51,AgeF,5,FALSE),IF(FacingSheet!$B$11=50,VLOOKUP(Q51,AgeF,6,FALSE),IF(FacingSheet!$B$11=100,VLOOKUP(Q51,AgeF,7,FALSE),"")))))))</f>
        <v>1.9803240740740739E-2</v>
      </c>
      <c r="T51" s="108">
        <f t="shared" si="2"/>
        <v>1.8252314814814815E-2</v>
      </c>
      <c r="U51" s="29"/>
      <c r="V51" s="29"/>
      <c r="W51" s="29"/>
      <c r="X51" s="132"/>
      <c r="Y51" s="132"/>
      <c r="Z51" s="132"/>
    </row>
    <row r="52" spans="1:26">
      <c r="A52" s="36">
        <v>17</v>
      </c>
      <c r="B52" s="133" t="str">
        <f>"Kenneth"</f>
        <v>Kenneth</v>
      </c>
      <c r="C52" s="133" t="str">
        <f>"McKenzie"</f>
        <v>McKenzie</v>
      </c>
      <c r="D52" s="1" t="str">
        <f t="shared" si="0"/>
        <v>Kenneth McKenzie</v>
      </c>
      <c r="E52" s="29" t="str">
        <f>"Ross-Shire RCC"</f>
        <v>Ross-Shire RCC</v>
      </c>
      <c r="F52" s="29" t="s">
        <v>57</v>
      </c>
      <c r="G52" s="29" t="str">
        <f>"1823463"</f>
        <v>1823463</v>
      </c>
      <c r="H52" s="193">
        <v>1.6203703703703703E-2</v>
      </c>
      <c r="I52" s="131" t="str">
        <f>"27/04/1973"</f>
        <v>27/04/1973</v>
      </c>
      <c r="J52" s="100">
        <f>IF(FacingSheet!$B$11=10,IF(ISERROR(((((H52*1440)-20)*60)-(((H52*1440)-20)^1.6)*2.5)/86400),"",((((H52*1440)-20)*60)-(((H52*1440)-20)^1.6)*2.5)/86400),"")</f>
        <v>2.1161905701622256E-3</v>
      </c>
      <c r="K52" s="100" t="str">
        <f>IF(FacingSheet!$B$11=15,IF(ISERROR(((((H52*1440)-33)*60)-(((H52*1440)-33)^1.6)*1.667)/86400),"",((((H52*1440)-33)*60)-(((H52*1440)-33)^1.6)*1.667)/86400),"")</f>
        <v/>
      </c>
      <c r="L52" s="100" t="str">
        <f>IF(FacingSheet!$B$11=25,IF(ISERROR(((((H52*1440)-50)*60)-(((H52*1440)-50)^1.6))/86400),"",((((H52*1440)-50)*60)-(((H52*1440)-50)^1.6))/86400),"")</f>
        <v/>
      </c>
      <c r="M52" s="100" t="str">
        <f>IF(FacingSheet!$B$11=30,IF(ISERROR(((((H52*1440)-60)*60)-((((H52*1440)-60)^1.6))/1.2)/86400),"",((((H52*1440)-60)*60)-((((H52*1440)-60)^1.6))/1.2)/86400),"")</f>
        <v/>
      </c>
      <c r="N52" s="100" t="str">
        <f>IF(FacingSheet!$B$11=50,IF(ISERROR(((((H52*1440)-105)*60)-((((H52*1440)-105)^1.6))/2)/86400),"",((((H52*1440)-105)*60)-((((H52*1440)-105)^1.6))/2)/86400),"")</f>
        <v/>
      </c>
      <c r="O52" s="100" t="str">
        <f>IF(FacingSheet!$B$11=100,IF(ISERROR(((((H52*1440)-230)*60)-((((H52*1440)-230)^1.6))/4)/86400),"",((((H52*1440)-230)*60)-((((H52*1440)-230)^1.6))/4)/86400),"")</f>
        <v/>
      </c>
      <c r="P52" s="108">
        <f>IF(FacingSheet!$B$11=10,J52,IF(FacingSheet!$B$11=15,K52,IF(FacingSheet!$B$11=25,L52,IF(FacingSheet!$B$11=30,M52,IF(FacingSheet!$B$11=50,N52,IF(FacingSheet!$B$11=100,O52,""))))))</f>
        <v>2.1161905701622256E-3</v>
      </c>
      <c r="Q52" s="65">
        <f>IF(OR(F52="V",F52="FV"),IF(I52="","",IF(MONTH(FacingSheet!$S$9)&gt;MONTH(I52),YEAR(FacingSheet!$S$9)-YEAR(I52),IF(AND(MONTH(FacingSheet!$S$9)=MONTH(I52),DAY(FacingSheet!$S$9)&gt;=DAY(I52)),YEAR(FacingSheet!$S$9)-YEAR(I52),(YEAR(FacingSheet!$S$9)-YEAR(I52))-1))),"")</f>
        <v>52</v>
      </c>
      <c r="R52" s="108">
        <f>IF(Q52="","",IF(FacingSheet!$B$11=10,VLOOKUP(Q52,Age,2,FALSE),IF(FacingSheet!$B$11=15,VLOOKUP(Q52,Age,3,FALSE),IF(FacingSheet!$B$11=25,VLOOKUP(Q52,Age,4,FALSE),IF(FacingSheet!$B$11=30,VLOOKUP(Q52,Age,5,FALSE),IF(FacingSheet!$B$11=50,VLOOKUP(Q52,Age,6,FALSE),IF(FacingSheet!$B$11=100,VLOOKUP(Q52,Age,7,FALSE),"")))))))</f>
        <v>1.8726851851851852E-2</v>
      </c>
      <c r="S52" s="108">
        <f>IF(Q52="","",IF(FacingSheet!$B$11=10,VLOOKUP(Q52,AgeF,2,FALSE),IF(FacingSheet!$B$11=15,VLOOKUP(Q52,AgeF,3,FALSE),IF(FacingSheet!$B$11=25,VLOOKUP(Q52,AgeF,4,FALSE),IF(FacingSheet!$B$11=30,VLOOKUP(Q52,AgeF,5,FALSE),IF(FacingSheet!$B$11=50,VLOOKUP(Q52,AgeF,6,FALSE),IF(FacingSheet!$B$11=100,VLOOKUP(Q52,AgeF,7,FALSE),"")))))))</f>
        <v>2.0324074074074074E-2</v>
      </c>
      <c r="T52" s="108">
        <f t="shared" si="2"/>
        <v>1.8726851851851852E-2</v>
      </c>
      <c r="U52" s="29"/>
      <c r="V52" s="29"/>
      <c r="W52" s="29"/>
      <c r="X52" s="132"/>
      <c r="Y52" s="132"/>
      <c r="Z52" s="132"/>
    </row>
    <row r="53" spans="1:26">
      <c r="A53" s="36">
        <v>57</v>
      </c>
      <c r="B53" s="133" t="str">
        <f>"Liam"</f>
        <v>Liam</v>
      </c>
      <c r="C53" s="133" t="str">
        <f>"McNamara"</f>
        <v>McNamara</v>
      </c>
      <c r="D53" s="1" t="str">
        <f t="shared" si="0"/>
        <v>Liam McNamara</v>
      </c>
      <c r="E53" s="29" t="str">
        <f>"Elgin CC"</f>
        <v>Elgin CC</v>
      </c>
      <c r="F53" s="29" t="s">
        <v>58</v>
      </c>
      <c r="G53" s="29" t="str">
        <f>"1279184"</f>
        <v>1279184</v>
      </c>
      <c r="H53" s="193">
        <v>1.5219907407407408E-2</v>
      </c>
      <c r="I53" s="131" t="str">
        <f>"21/02/1994"</f>
        <v>21/02/1994</v>
      </c>
      <c r="J53" s="100">
        <f>IF(FacingSheet!$B$11=10,IF(ISERROR(((((H53*1440)-20)*60)-(((H53*1440)-20)^1.6)*2.5)/86400),"",((((H53*1440)-20)*60)-(((H53*1440)-20)^1.6)*2.5)/86400),"")</f>
        <v>1.2490776033457552E-3</v>
      </c>
      <c r="K53" s="100" t="str">
        <f>IF(FacingSheet!$B$11=15,IF(ISERROR(((((H53*1440)-33)*60)-(((H53*1440)-33)^1.6)*1.667)/86400),"",((((H53*1440)-33)*60)-(((H53*1440)-33)^1.6)*1.667)/86400),"")</f>
        <v/>
      </c>
      <c r="L53" s="100" t="str">
        <f>IF(FacingSheet!$B$11=25,IF(ISERROR(((((H53*1440)-50)*60)-(((H53*1440)-50)^1.6))/86400),"",((((H53*1440)-50)*60)-(((H53*1440)-50)^1.6))/86400),"")</f>
        <v/>
      </c>
      <c r="M53" s="100" t="str">
        <f>IF(FacingSheet!$B$11=30,IF(ISERROR(((((H53*1440)-60)*60)-((((H53*1440)-60)^1.6))/1.2)/86400),"",((((H53*1440)-60)*60)-((((H53*1440)-60)^1.6))/1.2)/86400),"")</f>
        <v/>
      </c>
      <c r="N53" s="100" t="str">
        <f>IF(FacingSheet!$B$11=50,IF(ISERROR(((((H53*1440)-105)*60)-((((H53*1440)-105)^1.6))/2)/86400),"",((((H53*1440)-105)*60)-((((H53*1440)-105)^1.6))/2)/86400),"")</f>
        <v/>
      </c>
      <c r="O53" s="100" t="str">
        <f>IF(FacingSheet!$B$11=100,IF(ISERROR(((((H53*1440)-230)*60)-((((H53*1440)-230)^1.6))/4)/86400),"",((((H53*1440)-230)*60)-((((H53*1440)-230)^1.6))/4)/86400),"")</f>
        <v/>
      </c>
      <c r="P53" s="108">
        <f>IF(FacingSheet!$B$11=10,J53,IF(FacingSheet!$B$11=15,K53,IF(FacingSheet!$B$11=25,L53,IF(FacingSheet!$B$11=30,M53,IF(FacingSheet!$B$11=50,N53,IF(FacingSheet!$B$11=100,O53,""))))))</f>
        <v>1.2490776033457552E-3</v>
      </c>
      <c r="Q53" s="65" t="str">
        <f>IF(OR(F53="V",F53="FV"),IF(I53="","",IF(MONTH(FacingSheet!$S$9)&gt;MONTH(I53),YEAR(FacingSheet!$S$9)-YEAR(I53),IF(AND(MONTH(FacingSheet!$S$9)=MONTH(I53),DAY(FacingSheet!$S$9)&gt;=DAY(I53)),YEAR(FacingSheet!$S$9)-YEAR(I53),(YEAR(FacingSheet!$S$9)-YEAR(I53))-1))),"")</f>
        <v/>
      </c>
      <c r="R53" s="108" t="str">
        <f>IF(Q53="","",IF(FacingSheet!$B$11=10,VLOOKUP(Q53,Age,2,FALSE),IF(FacingSheet!$B$11=15,VLOOKUP(Q53,Age,3,FALSE),IF(FacingSheet!$B$11=25,VLOOKUP(Q53,Age,4,FALSE),IF(FacingSheet!$B$11=30,VLOOKUP(Q53,Age,5,FALSE),IF(FacingSheet!$B$11=50,VLOOKUP(Q53,Age,6,FALSE),IF(FacingSheet!$B$11=100,VLOOKUP(Q53,Age,7,FALSE),"")))))))</f>
        <v/>
      </c>
      <c r="S53" s="108" t="str">
        <f>IF(Q53="","",IF(FacingSheet!$B$11=10,VLOOKUP(Q53,AgeF,2,FALSE),IF(FacingSheet!$B$11=15,VLOOKUP(Q53,AgeF,3,FALSE),IF(FacingSheet!$B$11=25,VLOOKUP(Q53,AgeF,4,FALSE),IF(FacingSheet!$B$11=30,VLOOKUP(Q53,AgeF,5,FALSE),IF(FacingSheet!$B$11=50,VLOOKUP(Q53,AgeF,6,FALSE),IF(FacingSheet!$B$11=100,VLOOKUP(Q53,AgeF,7,FALSE),"")))))))</f>
        <v/>
      </c>
      <c r="T53" s="108" t="str">
        <f t="shared" si="2"/>
        <v/>
      </c>
      <c r="U53" s="29"/>
      <c r="V53" s="29"/>
      <c r="W53" s="29"/>
      <c r="X53" s="132"/>
      <c r="Y53" s="132"/>
      <c r="Z53" s="132"/>
    </row>
    <row r="54" spans="1:26">
      <c r="A54" s="36">
        <v>8</v>
      </c>
      <c r="B54" s="133" t="str">
        <f>"Michael"</f>
        <v>Michael</v>
      </c>
      <c r="C54" s="133" t="str">
        <f>"Morris"</f>
        <v>Morris</v>
      </c>
      <c r="D54" s="1" t="str">
        <f t="shared" si="0"/>
        <v>Michael Morris</v>
      </c>
      <c r="E54" s="29" t="str">
        <f>"Cairngorm CC"</f>
        <v>Cairngorm CC</v>
      </c>
      <c r="F54" s="29" t="s">
        <v>57</v>
      </c>
      <c r="G54" s="29" t="str">
        <f>"1729605"</f>
        <v>1729605</v>
      </c>
      <c r="H54" s="193">
        <v>1.6724537037037038E-2</v>
      </c>
      <c r="I54" s="131" t="str">
        <f>"11/10/1962"</f>
        <v>11/10/1962</v>
      </c>
      <c r="J54" s="100">
        <f>IF(FacingSheet!$B$11=10,IF(ISERROR(((((H54*1440)-20)*60)-(((H54*1440)-20)^1.6)*2.5)/86400),"",((((H54*1440)-20)*60)-(((H54*1440)-20)^1.6)*2.5)/86400),"")</f>
        <v>2.5608270943601463E-3</v>
      </c>
      <c r="K54" s="100" t="str">
        <f>IF(FacingSheet!$B$11=15,IF(ISERROR(((((H54*1440)-33)*60)-(((H54*1440)-33)^1.6)*1.667)/86400),"",((((H54*1440)-33)*60)-(((H54*1440)-33)^1.6)*1.667)/86400),"")</f>
        <v/>
      </c>
      <c r="L54" s="100" t="str">
        <f>IF(FacingSheet!$B$11=25,IF(ISERROR(((((H54*1440)-50)*60)-(((H54*1440)-50)^1.6))/86400),"",((((H54*1440)-50)*60)-(((H54*1440)-50)^1.6))/86400),"")</f>
        <v/>
      </c>
      <c r="M54" s="100" t="str">
        <f>IF(FacingSheet!$B$11=30,IF(ISERROR(((((H54*1440)-60)*60)-((((H54*1440)-60)^1.6))/1.2)/86400),"",((((H54*1440)-60)*60)-((((H54*1440)-60)^1.6))/1.2)/86400),"")</f>
        <v/>
      </c>
      <c r="N54" s="100" t="str">
        <f>IF(FacingSheet!$B$11=50,IF(ISERROR(((((H54*1440)-105)*60)-((((H54*1440)-105)^1.6))/2)/86400),"",((((H54*1440)-105)*60)-((((H54*1440)-105)^1.6))/2)/86400),"")</f>
        <v/>
      </c>
      <c r="O54" s="100" t="str">
        <f>IF(FacingSheet!$B$11=100,IF(ISERROR(((((H54*1440)-230)*60)-((((H54*1440)-230)^1.6))/4)/86400),"",((((H54*1440)-230)*60)-((((H54*1440)-230)^1.6))/4)/86400),"")</f>
        <v/>
      </c>
      <c r="P54" s="108">
        <f>IF(FacingSheet!$B$11=10,J54,IF(FacingSheet!$B$11=15,K54,IF(FacingSheet!$B$11=25,L54,IF(FacingSheet!$B$11=30,M54,IF(FacingSheet!$B$11=50,N54,IF(FacingSheet!$B$11=100,O54,""))))))</f>
        <v>2.5608270943601463E-3</v>
      </c>
      <c r="Q54" s="65">
        <f>IF(OR(F54="V",F54="FV"),IF(I54="","",IF(MONTH(FacingSheet!$S$9)&gt;MONTH(I54),YEAR(FacingSheet!$S$9)-YEAR(I54),IF(AND(MONTH(FacingSheet!$S$9)=MONTH(I54),DAY(FacingSheet!$S$9)&gt;=DAY(I54)),YEAR(FacingSheet!$S$9)-YEAR(I54),(YEAR(FacingSheet!$S$9)-YEAR(I54))-1))),"")</f>
        <v>62</v>
      </c>
      <c r="R54" s="108">
        <f>IF(Q54="","",IF(FacingSheet!$B$11=10,VLOOKUP(Q54,Age,2,FALSE),IF(FacingSheet!$B$11=15,VLOOKUP(Q54,Age,3,FALSE),IF(FacingSheet!$B$11=25,VLOOKUP(Q54,Age,4,FALSE),IF(FacingSheet!$B$11=30,VLOOKUP(Q54,Age,5,FALSE),IF(FacingSheet!$B$11=50,VLOOKUP(Q54,Age,6,FALSE),IF(FacingSheet!$B$11=100,VLOOKUP(Q54,Age,7,FALSE),"")))))))</f>
        <v>1.9351851851851853E-2</v>
      </c>
      <c r="S54" s="108">
        <f>IF(Q54="","",IF(FacingSheet!$B$11=10,VLOOKUP(Q54,AgeF,2,FALSE),IF(FacingSheet!$B$11=15,VLOOKUP(Q54,AgeF,3,FALSE),IF(FacingSheet!$B$11=25,VLOOKUP(Q54,AgeF,4,FALSE),IF(FacingSheet!$B$11=30,VLOOKUP(Q54,AgeF,5,FALSE),IF(FacingSheet!$B$11=50,VLOOKUP(Q54,AgeF,6,FALSE),IF(FacingSheet!$B$11=100,VLOOKUP(Q54,AgeF,7,FALSE),"")))))))</f>
        <v>2.101851851851852E-2</v>
      </c>
      <c r="T54" s="108">
        <f t="shared" si="2"/>
        <v>1.9351851851851853E-2</v>
      </c>
      <c r="U54" s="29"/>
      <c r="V54" s="29"/>
      <c r="W54" s="29"/>
      <c r="X54" s="132"/>
      <c r="Y54" s="132"/>
      <c r="Z54" s="132"/>
    </row>
    <row r="55" spans="1:26">
      <c r="A55" s="36">
        <v>15</v>
      </c>
      <c r="B55" s="133" t="str">
        <f>"Alasdair"</f>
        <v>Alasdair</v>
      </c>
      <c r="C55" s="133" t="str">
        <f>"Munro"</f>
        <v>Munro</v>
      </c>
      <c r="D55" s="1" t="str">
        <f t="shared" si="0"/>
        <v>Alasdair Munro</v>
      </c>
      <c r="E55" s="29" t="str">
        <f>"RT23"</f>
        <v>RT23</v>
      </c>
      <c r="F55" s="29" t="s">
        <v>58</v>
      </c>
      <c r="G55" s="29" t="str">
        <f>"1108729"</f>
        <v>1108729</v>
      </c>
      <c r="H55" s="193">
        <v>1.4560185185185185E-2</v>
      </c>
      <c r="I55" s="131" t="str">
        <f>"25/05/2000"</f>
        <v>25/05/2000</v>
      </c>
      <c r="J55" s="100">
        <f>IF(FacingSheet!$B$11=10,IF(ISERROR(((((H55*1440)-20)*60)-(((H55*1440)-20)^1.6)*2.5)/86400),"",((((H55*1440)-20)*60)-(((H55*1440)-20)^1.6)*2.5)/86400),"")</f>
        <v>6.438888194885493E-4</v>
      </c>
      <c r="K55" s="100" t="str">
        <f>IF(FacingSheet!$B$11=15,IF(ISERROR(((((H55*1440)-33)*60)-(((H55*1440)-33)^1.6)*1.667)/86400),"",((((H55*1440)-33)*60)-(((H55*1440)-33)^1.6)*1.667)/86400),"")</f>
        <v/>
      </c>
      <c r="L55" s="100" t="str">
        <f>IF(FacingSheet!$B$11=25,IF(ISERROR(((((H55*1440)-50)*60)-(((H55*1440)-50)^1.6))/86400),"",((((H55*1440)-50)*60)-(((H55*1440)-50)^1.6))/86400),"")</f>
        <v/>
      </c>
      <c r="M55" s="100" t="str">
        <f>IF(FacingSheet!$B$11=30,IF(ISERROR(((((H55*1440)-60)*60)-((((H55*1440)-60)^1.6))/1.2)/86400),"",((((H55*1440)-60)*60)-((((H55*1440)-60)^1.6))/1.2)/86400),"")</f>
        <v/>
      </c>
      <c r="N55" s="100" t="str">
        <f>IF(FacingSheet!$B$11=50,IF(ISERROR(((((H55*1440)-105)*60)-((((H55*1440)-105)^1.6))/2)/86400),"",((((H55*1440)-105)*60)-((((H55*1440)-105)^1.6))/2)/86400),"")</f>
        <v/>
      </c>
      <c r="O55" s="100" t="str">
        <f>IF(FacingSheet!$B$11=100,IF(ISERROR(((((H55*1440)-230)*60)-((((H55*1440)-230)^1.6))/4)/86400),"",((((H55*1440)-230)*60)-((((H55*1440)-230)^1.6))/4)/86400),"")</f>
        <v/>
      </c>
      <c r="P55" s="108">
        <f>IF(FacingSheet!$B$11=10,J55,IF(FacingSheet!$B$11=15,K55,IF(FacingSheet!$B$11=25,L55,IF(FacingSheet!$B$11=30,M55,IF(FacingSheet!$B$11=50,N55,IF(FacingSheet!$B$11=100,O55,""))))))</f>
        <v>6.438888194885493E-4</v>
      </c>
      <c r="Q55" s="65" t="str">
        <f>IF(OR(F55="V",F55="FV"),IF(I55="","",IF(MONTH(FacingSheet!$S$9)&gt;MONTH(I55),YEAR(FacingSheet!$S$9)-YEAR(I55),IF(AND(MONTH(FacingSheet!$S$9)=MONTH(I55),DAY(FacingSheet!$S$9)&gt;=DAY(I55)),YEAR(FacingSheet!$S$9)-YEAR(I55),(YEAR(FacingSheet!$S$9)-YEAR(I55))-1))),"")</f>
        <v/>
      </c>
      <c r="R55" s="108" t="str">
        <f>IF(Q55="","",IF(FacingSheet!$B$11=10,VLOOKUP(Q55,Age,2,FALSE),IF(FacingSheet!$B$11=15,VLOOKUP(Q55,Age,3,FALSE),IF(FacingSheet!$B$11=25,VLOOKUP(Q55,Age,4,FALSE),IF(FacingSheet!$B$11=30,VLOOKUP(Q55,Age,5,FALSE),IF(FacingSheet!$B$11=50,VLOOKUP(Q55,Age,6,FALSE),IF(FacingSheet!$B$11=100,VLOOKUP(Q55,Age,7,FALSE),"")))))))</f>
        <v/>
      </c>
      <c r="S55" s="108" t="str">
        <f>IF(Q55="","",IF(FacingSheet!$B$11=10,VLOOKUP(Q55,AgeF,2,FALSE),IF(FacingSheet!$B$11=15,VLOOKUP(Q55,AgeF,3,FALSE),IF(FacingSheet!$B$11=25,VLOOKUP(Q55,AgeF,4,FALSE),IF(FacingSheet!$B$11=30,VLOOKUP(Q55,AgeF,5,FALSE),IF(FacingSheet!$B$11=50,VLOOKUP(Q55,AgeF,6,FALSE),IF(FacingSheet!$B$11=100,VLOOKUP(Q55,AgeF,7,FALSE),"")))))))</f>
        <v/>
      </c>
      <c r="T55" s="108" t="str">
        <f t="shared" si="2"/>
        <v/>
      </c>
      <c r="U55" s="29"/>
      <c r="V55" s="29"/>
      <c r="W55" s="29"/>
      <c r="X55" s="132"/>
      <c r="Y55" s="132"/>
      <c r="Z55" s="132"/>
    </row>
    <row r="56" spans="1:26">
      <c r="A56" s="36">
        <v>49</v>
      </c>
      <c r="B56" s="133" t="str">
        <f>"Hector"</f>
        <v>Hector</v>
      </c>
      <c r="C56" s="133" t="str">
        <f>"Nicolson"</f>
        <v>Nicolson</v>
      </c>
      <c r="D56" s="1" t="str">
        <f t="shared" si="0"/>
        <v>Hector Nicolson</v>
      </c>
      <c r="E56" s="29" t="str">
        <f>"Moray Firth Cycling Club"</f>
        <v>Moray Firth Cycling Club</v>
      </c>
      <c r="F56" s="29" t="s">
        <v>57</v>
      </c>
      <c r="G56" s="29" t="str">
        <f>"703907"</f>
        <v>703907</v>
      </c>
      <c r="H56" s="193">
        <v>1.9212962962962963E-2</v>
      </c>
      <c r="I56" s="131" t="str">
        <f>"04/09/1955"</f>
        <v>04/09/1955</v>
      </c>
      <c r="J56" s="100">
        <f>IF(FacingSheet!$B$11=10,IF(ISERROR(((((H56*1440)-20)*60)-(((H56*1440)-20)^1.6)*2.5)/86400),"",((((H56*1440)-20)*60)-(((H56*1440)-20)^1.6)*2.5)/86400),"")</f>
        <v>4.57107091834683E-3</v>
      </c>
      <c r="K56" s="100" t="str">
        <f>IF(FacingSheet!$B$11=15,IF(ISERROR(((((H56*1440)-33)*60)-(((H56*1440)-33)^1.6)*1.667)/86400),"",((((H56*1440)-33)*60)-(((H56*1440)-33)^1.6)*1.667)/86400),"")</f>
        <v/>
      </c>
      <c r="L56" s="100" t="str">
        <f>IF(FacingSheet!$B$11=25,IF(ISERROR(((((H56*1440)-50)*60)-(((H56*1440)-50)^1.6))/86400),"",((((H56*1440)-50)*60)-(((H56*1440)-50)^1.6))/86400),"")</f>
        <v/>
      </c>
      <c r="M56" s="100" t="str">
        <f>IF(FacingSheet!$B$11=30,IF(ISERROR(((((H56*1440)-60)*60)-((((H56*1440)-60)^1.6))/1.2)/86400),"",((((H56*1440)-60)*60)-((((H56*1440)-60)^1.6))/1.2)/86400),"")</f>
        <v/>
      </c>
      <c r="N56" s="100" t="str">
        <f>IF(FacingSheet!$B$11=50,IF(ISERROR(((((H56*1440)-105)*60)-((((H56*1440)-105)^1.6))/2)/86400),"",((((H56*1440)-105)*60)-((((H56*1440)-105)^1.6))/2)/86400),"")</f>
        <v/>
      </c>
      <c r="O56" s="100" t="str">
        <f>IF(FacingSheet!$B$11=100,IF(ISERROR(((((H56*1440)-230)*60)-((((H56*1440)-230)^1.6))/4)/86400),"",((((H56*1440)-230)*60)-((((H56*1440)-230)^1.6))/4)/86400),"")</f>
        <v/>
      </c>
      <c r="P56" s="108">
        <f>IF(FacingSheet!$B$11=10,J56,IF(FacingSheet!$B$11=15,K56,IF(FacingSheet!$B$11=25,L56,IF(FacingSheet!$B$11=30,M56,IF(FacingSheet!$B$11=50,N56,IF(FacingSheet!$B$11=100,O56,""))))))</f>
        <v>4.57107091834683E-3</v>
      </c>
      <c r="Q56" s="65">
        <f>IF(OR(F56="V",F56="FV"),IF(I56="","",IF(MONTH(FacingSheet!$S$9)&gt;MONTH(I56),YEAR(FacingSheet!$S$9)-YEAR(I56),IF(AND(MONTH(FacingSheet!$S$9)=MONTH(I56),DAY(FacingSheet!$S$9)&gt;=DAY(I56)),YEAR(FacingSheet!$S$9)-YEAR(I56),(YEAR(FacingSheet!$S$9)-YEAR(I56))-1))),"")</f>
        <v>70</v>
      </c>
      <c r="R56" s="108">
        <f>IF(Q56="","",IF(FacingSheet!$B$11=10,VLOOKUP(Q56,Age,2,FALSE),IF(FacingSheet!$B$11=15,VLOOKUP(Q56,Age,3,FALSE),IF(FacingSheet!$B$11=25,VLOOKUP(Q56,Age,4,FALSE),IF(FacingSheet!$B$11=30,VLOOKUP(Q56,Age,5,FALSE),IF(FacingSheet!$B$11=50,VLOOKUP(Q56,Age,6,FALSE),IF(FacingSheet!$B$11=100,VLOOKUP(Q56,Age,7,FALSE),"")))))))</f>
        <v>2.011574074074074E-2</v>
      </c>
      <c r="S56" s="108">
        <f>IF(Q56="","",IF(FacingSheet!$B$11=10,VLOOKUP(Q56,AgeF,2,FALSE),IF(FacingSheet!$B$11=15,VLOOKUP(Q56,AgeF,3,FALSE),IF(FacingSheet!$B$11=25,VLOOKUP(Q56,AgeF,4,FALSE),IF(FacingSheet!$B$11=30,VLOOKUP(Q56,AgeF,5,FALSE),IF(FacingSheet!$B$11=50,VLOOKUP(Q56,AgeF,6,FALSE),IF(FacingSheet!$B$11=100,VLOOKUP(Q56,AgeF,7,FALSE),"")))))))</f>
        <v>2.1874999999999999E-2</v>
      </c>
      <c r="T56" s="108">
        <f t="shared" si="2"/>
        <v>2.011574074074074E-2</v>
      </c>
      <c r="U56" s="29"/>
      <c r="V56" s="29"/>
      <c r="W56" s="29"/>
      <c r="X56" s="132"/>
      <c r="Y56" s="132"/>
      <c r="Z56" s="132"/>
    </row>
    <row r="57" spans="1:26">
      <c r="A57" s="36">
        <v>51</v>
      </c>
      <c r="B57" s="133" t="str">
        <f>"Paul"</f>
        <v>Paul</v>
      </c>
      <c r="C57" s="133" t="str">
        <f>"Parrish"</f>
        <v>Parrish</v>
      </c>
      <c r="D57" s="1" t="str">
        <f t="shared" si="0"/>
        <v>Paul Parrish</v>
      </c>
      <c r="E57" s="29" t="str">
        <f>"Cairngorm CC"</f>
        <v>Cairngorm CC</v>
      </c>
      <c r="F57" s="29" t="s">
        <v>57</v>
      </c>
      <c r="G57" s="29" t="str">
        <f>"966611"</f>
        <v>966611</v>
      </c>
      <c r="H57" s="193">
        <v>1.7187500000000001E-2</v>
      </c>
      <c r="I57" s="131" t="str">
        <f>"11/09/1962"</f>
        <v>11/09/1962</v>
      </c>
      <c r="J57" s="100">
        <f>IF(FacingSheet!$B$11=10,IF(ISERROR(((((H57*1440)-20)*60)-(((H57*1440)-20)^1.6)*2.5)/86400),"",((((H57*1440)-20)*60)-(((H57*1440)-20)^1.6)*2.5)/86400),"")</f>
        <v>2.9485563075178855E-3</v>
      </c>
      <c r="K57" s="100" t="str">
        <f>IF(FacingSheet!$B$11=15,IF(ISERROR(((((H57*1440)-33)*60)-(((H57*1440)-33)^1.6)*1.667)/86400),"",((((H57*1440)-33)*60)-(((H57*1440)-33)^1.6)*1.667)/86400),"")</f>
        <v/>
      </c>
      <c r="L57" s="100" t="str">
        <f>IF(FacingSheet!$B$11=25,IF(ISERROR(((((H57*1440)-50)*60)-(((H57*1440)-50)^1.6))/86400),"",((((H57*1440)-50)*60)-(((H57*1440)-50)^1.6))/86400),"")</f>
        <v/>
      </c>
      <c r="M57" s="100" t="str">
        <f>IF(FacingSheet!$B$11=30,IF(ISERROR(((((H57*1440)-60)*60)-((((H57*1440)-60)^1.6))/1.2)/86400),"",((((H57*1440)-60)*60)-((((H57*1440)-60)^1.6))/1.2)/86400),"")</f>
        <v/>
      </c>
      <c r="N57" s="100" t="str">
        <f>IF(FacingSheet!$B$11=50,IF(ISERROR(((((H57*1440)-105)*60)-((((H57*1440)-105)^1.6))/2)/86400),"",((((H57*1440)-105)*60)-((((H57*1440)-105)^1.6))/2)/86400),"")</f>
        <v/>
      </c>
      <c r="O57" s="100" t="str">
        <f>IF(FacingSheet!$B$11=100,IF(ISERROR(((((H57*1440)-230)*60)-((((H57*1440)-230)^1.6))/4)/86400),"",((((H57*1440)-230)*60)-((((H57*1440)-230)^1.6))/4)/86400),"")</f>
        <v/>
      </c>
      <c r="P57" s="108">
        <f>IF(FacingSheet!$B$11=10,J57,IF(FacingSheet!$B$11=15,K57,IF(FacingSheet!$B$11=25,L57,IF(FacingSheet!$B$11=30,M57,IF(FacingSheet!$B$11=50,N57,IF(FacingSheet!$B$11=100,O57,""))))))</f>
        <v>2.9485563075178855E-3</v>
      </c>
      <c r="Q57" s="65">
        <f>IF(OR(F57="V",F57="FV"),IF(I57="","",IF(MONTH(FacingSheet!$S$9)&gt;MONTH(I57),YEAR(FacingSheet!$S$9)-YEAR(I57),IF(AND(MONTH(FacingSheet!$S$9)=MONTH(I57),DAY(FacingSheet!$S$9)&gt;=DAY(I57)),YEAR(FacingSheet!$S$9)-YEAR(I57),(YEAR(FacingSheet!$S$9)-YEAR(I57))-1))),"")</f>
        <v>62</v>
      </c>
      <c r="R57" s="108">
        <f>IF(Q57="","",IF(FacingSheet!$B$11=10,VLOOKUP(Q57,Age,2,FALSE),IF(FacingSheet!$B$11=15,VLOOKUP(Q57,Age,3,FALSE),IF(FacingSheet!$B$11=25,VLOOKUP(Q57,Age,4,FALSE),IF(FacingSheet!$B$11=30,VLOOKUP(Q57,Age,5,FALSE),IF(FacingSheet!$B$11=50,VLOOKUP(Q57,Age,6,FALSE),IF(FacingSheet!$B$11=100,VLOOKUP(Q57,Age,7,FALSE),"")))))))</f>
        <v>1.9351851851851853E-2</v>
      </c>
      <c r="S57" s="108">
        <f>IF(Q57="","",IF(FacingSheet!$B$11=10,VLOOKUP(Q57,AgeF,2,FALSE),IF(FacingSheet!$B$11=15,VLOOKUP(Q57,AgeF,3,FALSE),IF(FacingSheet!$B$11=25,VLOOKUP(Q57,AgeF,4,FALSE),IF(FacingSheet!$B$11=30,VLOOKUP(Q57,AgeF,5,FALSE),IF(FacingSheet!$B$11=50,VLOOKUP(Q57,AgeF,6,FALSE),IF(FacingSheet!$B$11=100,VLOOKUP(Q57,AgeF,7,FALSE),"")))))))</f>
        <v>2.101851851851852E-2</v>
      </c>
      <c r="T57" s="108">
        <f t="shared" si="2"/>
        <v>1.9351851851851853E-2</v>
      </c>
      <c r="U57" s="29"/>
      <c r="V57" s="29"/>
      <c r="W57" s="29"/>
      <c r="X57" s="132"/>
      <c r="Y57" s="132"/>
      <c r="Z57" s="132"/>
    </row>
    <row r="58" spans="1:26">
      <c r="A58" s="36">
        <v>52</v>
      </c>
      <c r="B58" s="133" t="str">
        <f>"Bruce"</f>
        <v>Bruce</v>
      </c>
      <c r="C58" s="133" t="str">
        <f>"Paterson"</f>
        <v>Paterson</v>
      </c>
      <c r="D58" s="1" t="str">
        <f t="shared" si="0"/>
        <v>Bruce Paterson</v>
      </c>
      <c r="E58" s="29" t="str">
        <f>"Moray Firth Cycling Club"</f>
        <v>Moray Firth Cycling Club</v>
      </c>
      <c r="F58" s="29" t="s">
        <v>58</v>
      </c>
      <c r="G58" s="29" t="str">
        <f>"1824581"</f>
        <v>1824581</v>
      </c>
      <c r="H58" s="193">
        <v>1.6921296296296295E-2</v>
      </c>
      <c r="I58" s="131" t="str">
        <f>"05/12/1994"</f>
        <v>05/12/1994</v>
      </c>
      <c r="J58" s="100">
        <f>IF(FacingSheet!$B$11=10,IF(ISERROR(((((H58*1440)-20)*60)-(((H58*1440)-20)^1.6)*2.5)/86400),"",((((H58*1440)-20)*60)-(((H58*1440)-20)^1.6)*2.5)/86400),"")</f>
        <v>2.7264462242409687E-3</v>
      </c>
      <c r="K58" s="100" t="str">
        <f>IF(FacingSheet!$B$11=15,IF(ISERROR(((((H58*1440)-33)*60)-(((H58*1440)-33)^1.6)*1.667)/86400),"",((((H58*1440)-33)*60)-(((H58*1440)-33)^1.6)*1.667)/86400),"")</f>
        <v/>
      </c>
      <c r="L58" s="100" t="str">
        <f>IF(FacingSheet!$B$11=25,IF(ISERROR(((((H58*1440)-50)*60)-(((H58*1440)-50)^1.6))/86400),"",((((H58*1440)-50)*60)-(((H58*1440)-50)^1.6))/86400),"")</f>
        <v/>
      </c>
      <c r="M58" s="100" t="str">
        <f>IF(FacingSheet!$B$11=30,IF(ISERROR(((((H58*1440)-60)*60)-((((H58*1440)-60)^1.6))/1.2)/86400),"",((((H58*1440)-60)*60)-((((H58*1440)-60)^1.6))/1.2)/86400),"")</f>
        <v/>
      </c>
      <c r="N58" s="100" t="str">
        <f>IF(FacingSheet!$B$11=50,IF(ISERROR(((((H58*1440)-105)*60)-((((H58*1440)-105)^1.6))/2)/86400),"",((((H58*1440)-105)*60)-((((H58*1440)-105)^1.6))/2)/86400),"")</f>
        <v/>
      </c>
      <c r="O58" s="100" t="str">
        <f>IF(FacingSheet!$B$11=100,IF(ISERROR(((((H58*1440)-230)*60)-((((H58*1440)-230)^1.6))/4)/86400),"",((((H58*1440)-230)*60)-((((H58*1440)-230)^1.6))/4)/86400),"")</f>
        <v/>
      </c>
      <c r="P58" s="108">
        <f>IF(FacingSheet!$B$11=10,J58,IF(FacingSheet!$B$11=15,K58,IF(FacingSheet!$B$11=25,L58,IF(FacingSheet!$B$11=30,M58,IF(FacingSheet!$B$11=50,N58,IF(FacingSheet!$B$11=100,O58,""))))))</f>
        <v>2.7264462242409687E-3</v>
      </c>
      <c r="Q58" s="65" t="str">
        <f>IF(OR(F58="V",F58="FV"),IF(I58="","",IF(MONTH(FacingSheet!$S$9)&gt;MONTH(I58),YEAR(FacingSheet!$S$9)-YEAR(I58),IF(AND(MONTH(FacingSheet!$S$9)=MONTH(I58),DAY(FacingSheet!$S$9)&gt;=DAY(I58)),YEAR(FacingSheet!$S$9)-YEAR(I58),(YEAR(FacingSheet!$S$9)-YEAR(I58))-1))),"")</f>
        <v/>
      </c>
      <c r="R58" s="108" t="str">
        <f>IF(Q58="","",IF(FacingSheet!$B$11=10,VLOOKUP(Q58,Age,2,FALSE),IF(FacingSheet!$B$11=15,VLOOKUP(Q58,Age,3,FALSE),IF(FacingSheet!$B$11=25,VLOOKUP(Q58,Age,4,FALSE),IF(FacingSheet!$B$11=30,VLOOKUP(Q58,Age,5,FALSE),IF(FacingSheet!$B$11=50,VLOOKUP(Q58,Age,6,FALSE),IF(FacingSheet!$B$11=100,VLOOKUP(Q58,Age,7,FALSE),"")))))))</f>
        <v/>
      </c>
      <c r="S58" s="108" t="str">
        <f>IF(Q58="","",IF(FacingSheet!$B$11=10,VLOOKUP(Q58,AgeF,2,FALSE),IF(FacingSheet!$B$11=15,VLOOKUP(Q58,AgeF,3,FALSE),IF(FacingSheet!$B$11=25,VLOOKUP(Q58,AgeF,4,FALSE),IF(FacingSheet!$B$11=30,VLOOKUP(Q58,AgeF,5,FALSE),IF(FacingSheet!$B$11=50,VLOOKUP(Q58,AgeF,6,FALSE),IF(FacingSheet!$B$11=100,VLOOKUP(Q58,AgeF,7,FALSE),"")))))))</f>
        <v/>
      </c>
      <c r="T58" s="108" t="str">
        <f t="shared" si="2"/>
        <v/>
      </c>
      <c r="U58" s="29"/>
      <c r="V58" s="29"/>
      <c r="W58" s="29"/>
      <c r="X58" s="132"/>
      <c r="Y58" s="132"/>
      <c r="Z58" s="132"/>
    </row>
    <row r="59" spans="1:26">
      <c r="A59" s="36">
        <v>73</v>
      </c>
      <c r="B59" s="133" t="str">
        <f>"Oliver"</f>
        <v>Oliver</v>
      </c>
      <c r="C59" s="133" t="str">
        <f>"Pemberton"</f>
        <v>Pemberton</v>
      </c>
      <c r="D59" s="1" t="str">
        <f t="shared" si="0"/>
        <v>Oliver Pemberton</v>
      </c>
      <c r="E59" s="29" t="str">
        <f>"Vanelli-Project Go"</f>
        <v>Vanelli-Project Go</v>
      </c>
      <c r="F59" s="29" t="s">
        <v>58</v>
      </c>
      <c r="G59" s="29" t="str">
        <f>"1826973"</f>
        <v>1826973</v>
      </c>
      <c r="H59" s="193">
        <v>1.3587962962962963E-2</v>
      </c>
      <c r="I59" s="131" t="str">
        <f>"14/11/1990"</f>
        <v>14/11/1990</v>
      </c>
      <c r="J59" s="100" t="str">
        <f>IF(FacingSheet!$B$11=10,IF(ISERROR(((((H59*1440)-20)*60)-(((H59*1440)-20)^1.6)*2.5)/86400),"",((((H59*1440)-20)*60)-(((H59*1440)-20)^1.6)*2.5)/86400),"")</f>
        <v/>
      </c>
      <c r="K59" s="100" t="str">
        <f>IF(FacingSheet!$B$11=15,IF(ISERROR(((((H59*1440)-33)*60)-(((H59*1440)-33)^1.6)*1.667)/86400),"",((((H59*1440)-33)*60)-(((H59*1440)-33)^1.6)*1.667)/86400),"")</f>
        <v/>
      </c>
      <c r="L59" s="100" t="str">
        <f>IF(FacingSheet!$B$11=25,IF(ISERROR(((((H59*1440)-50)*60)-(((H59*1440)-50)^1.6))/86400),"",((((H59*1440)-50)*60)-(((H59*1440)-50)^1.6))/86400),"")</f>
        <v/>
      </c>
      <c r="M59" s="100" t="str">
        <f>IF(FacingSheet!$B$11=30,IF(ISERROR(((((H59*1440)-60)*60)-((((H59*1440)-60)^1.6))/1.2)/86400),"",((((H59*1440)-60)*60)-((((H59*1440)-60)^1.6))/1.2)/86400),"")</f>
        <v/>
      </c>
      <c r="N59" s="100" t="str">
        <f>IF(FacingSheet!$B$11=50,IF(ISERROR(((((H59*1440)-105)*60)-((((H59*1440)-105)^1.6))/2)/86400),"",((((H59*1440)-105)*60)-((((H59*1440)-105)^1.6))/2)/86400),"")</f>
        <v/>
      </c>
      <c r="O59" s="100" t="str">
        <f>IF(FacingSheet!$B$11=100,IF(ISERROR(((((H59*1440)-230)*60)-((((H59*1440)-230)^1.6))/4)/86400),"",((((H59*1440)-230)*60)-((((H59*1440)-230)^1.6))/4)/86400),"")</f>
        <v/>
      </c>
      <c r="P59" s="108" t="str">
        <f>IF(FacingSheet!$B$11=10,J59,IF(FacingSheet!$B$11=15,K59,IF(FacingSheet!$B$11=25,L59,IF(FacingSheet!$B$11=30,M59,IF(FacingSheet!$B$11=50,N59,IF(FacingSheet!$B$11=100,O59,""))))))</f>
        <v/>
      </c>
      <c r="Q59" s="65" t="str">
        <f>IF(OR(F59="V",F59="FV"),IF(I59="","",IF(MONTH(FacingSheet!$S$9)&gt;MONTH(I59),YEAR(FacingSheet!$S$9)-YEAR(I59),IF(AND(MONTH(FacingSheet!$S$9)=MONTH(I59),DAY(FacingSheet!$S$9)&gt;=DAY(I59)),YEAR(FacingSheet!$S$9)-YEAR(I59),(YEAR(FacingSheet!$S$9)-YEAR(I59))-1))),"")</f>
        <v/>
      </c>
      <c r="R59" s="108" t="str">
        <f>IF(Q59="","",IF(FacingSheet!$B$11=10,VLOOKUP(Q59,Age,2,FALSE),IF(FacingSheet!$B$11=15,VLOOKUP(Q59,Age,3,FALSE),IF(FacingSheet!$B$11=25,VLOOKUP(Q59,Age,4,FALSE),IF(FacingSheet!$B$11=30,VLOOKUP(Q59,Age,5,FALSE),IF(FacingSheet!$B$11=50,VLOOKUP(Q59,Age,6,FALSE),IF(FacingSheet!$B$11=100,VLOOKUP(Q59,Age,7,FALSE),"")))))))</f>
        <v/>
      </c>
      <c r="S59" s="108" t="str">
        <f>IF(Q59="","",IF(FacingSheet!$B$11=10,VLOOKUP(Q59,AgeF,2,FALSE),IF(FacingSheet!$B$11=15,VLOOKUP(Q59,AgeF,3,FALSE),IF(FacingSheet!$B$11=25,VLOOKUP(Q59,AgeF,4,FALSE),IF(FacingSheet!$B$11=30,VLOOKUP(Q59,AgeF,5,FALSE),IF(FacingSheet!$B$11=50,VLOOKUP(Q59,AgeF,6,FALSE),IF(FacingSheet!$B$11=100,VLOOKUP(Q59,AgeF,7,FALSE),"")))))))</f>
        <v/>
      </c>
      <c r="T59" s="108" t="str">
        <f t="shared" si="2"/>
        <v/>
      </c>
      <c r="U59" s="29"/>
      <c r="V59" s="29"/>
      <c r="W59" s="29"/>
      <c r="X59" s="132"/>
      <c r="Y59" s="132"/>
      <c r="Z59" s="132"/>
    </row>
    <row r="60" spans="1:26">
      <c r="A60" s="36">
        <v>55</v>
      </c>
      <c r="B60" s="133" t="str">
        <f>"Chris"</f>
        <v>Chris</v>
      </c>
      <c r="C60" s="133" t="str">
        <f>"Petrie"</f>
        <v>Petrie</v>
      </c>
      <c r="D60" s="1" t="str">
        <f t="shared" si="0"/>
        <v>Chris Petrie</v>
      </c>
      <c r="E60" s="29" t="str">
        <f>"Aberdeen Wheelers Cycling Club"</f>
        <v>Aberdeen Wheelers Cycling Club</v>
      </c>
      <c r="F60" s="29" t="s">
        <v>57</v>
      </c>
      <c r="G60" s="29" t="str">
        <f>"1244492"</f>
        <v>1244492</v>
      </c>
      <c r="H60" s="193">
        <v>1.4004629629629629E-2</v>
      </c>
      <c r="I60" s="131" t="str">
        <f>"13/08/1985"</f>
        <v>13/08/1985</v>
      </c>
      <c r="J60" s="100">
        <f>IF(FacingSheet!$B$11=10,IF(ISERROR(((((H60*1440)-20)*60)-(((H60*1440)-20)^1.6)*2.5)/86400),"",((((H60*1440)-20)*60)-(((H60*1440)-20)^1.6)*2.5)/86400),"")</f>
        <v>1.1409491342666441E-4</v>
      </c>
      <c r="K60" s="100" t="str">
        <f>IF(FacingSheet!$B$11=15,IF(ISERROR(((((H60*1440)-33)*60)-(((H60*1440)-33)^1.6)*1.667)/86400),"",((((H60*1440)-33)*60)-(((H60*1440)-33)^1.6)*1.667)/86400),"")</f>
        <v/>
      </c>
      <c r="L60" s="100" t="str">
        <f>IF(FacingSheet!$B$11=25,IF(ISERROR(((((H60*1440)-50)*60)-(((H60*1440)-50)^1.6))/86400),"",((((H60*1440)-50)*60)-(((H60*1440)-50)^1.6))/86400),"")</f>
        <v/>
      </c>
      <c r="M60" s="100" t="str">
        <f>IF(FacingSheet!$B$11=30,IF(ISERROR(((((H60*1440)-60)*60)-((((H60*1440)-60)^1.6))/1.2)/86400),"",((((H60*1440)-60)*60)-((((H60*1440)-60)^1.6))/1.2)/86400),"")</f>
        <v/>
      </c>
      <c r="N60" s="100" t="str">
        <f>IF(FacingSheet!$B$11=50,IF(ISERROR(((((H60*1440)-105)*60)-((((H60*1440)-105)^1.6))/2)/86400),"",((((H60*1440)-105)*60)-((((H60*1440)-105)^1.6))/2)/86400),"")</f>
        <v/>
      </c>
      <c r="O60" s="100" t="str">
        <f>IF(FacingSheet!$B$11=100,IF(ISERROR(((((H60*1440)-230)*60)-((((H60*1440)-230)^1.6))/4)/86400),"",((((H60*1440)-230)*60)-((((H60*1440)-230)^1.6))/4)/86400),"")</f>
        <v/>
      </c>
      <c r="P60" s="108">
        <f>IF(FacingSheet!$B$11=10,J60,IF(FacingSheet!$B$11=15,K60,IF(FacingSheet!$B$11=25,L60,IF(FacingSheet!$B$11=30,M60,IF(FacingSheet!$B$11=50,N60,IF(FacingSheet!$B$11=100,O60,""))))))</f>
        <v>1.1409491342666441E-4</v>
      </c>
      <c r="Q60" s="65">
        <f>IF(OR(F60="V",F60="FV"),IF(I60="","",IF(MONTH(FacingSheet!$S$9)&gt;MONTH(I60),YEAR(FacingSheet!$S$9)-YEAR(I60),IF(AND(MONTH(FacingSheet!$S$9)=MONTH(I60),DAY(FacingSheet!$S$9)&gt;=DAY(I60)),YEAR(FacingSheet!$S$9)-YEAR(I60),(YEAR(FacingSheet!$S$9)-YEAR(I60))-1))),"")</f>
        <v>40</v>
      </c>
      <c r="R60" s="108">
        <f>IF(Q60="","",IF(FacingSheet!$B$11=10,VLOOKUP(Q60,Age,2,FALSE),IF(FacingSheet!$B$11=15,VLOOKUP(Q60,Age,3,FALSE),IF(FacingSheet!$B$11=25,VLOOKUP(Q60,Age,4,FALSE),IF(FacingSheet!$B$11=30,VLOOKUP(Q60,Age,5,FALSE),IF(FacingSheet!$B$11=50,VLOOKUP(Q60,Age,6,FALSE),IF(FacingSheet!$B$11=100,VLOOKUP(Q60,Age,7,FALSE),"")))))))</f>
        <v>1.8078703703703704E-2</v>
      </c>
      <c r="S60" s="108">
        <f>IF(Q60="","",IF(FacingSheet!$B$11=10,VLOOKUP(Q60,AgeF,2,FALSE),IF(FacingSheet!$B$11=15,VLOOKUP(Q60,AgeF,3,FALSE),IF(FacingSheet!$B$11=25,VLOOKUP(Q60,AgeF,4,FALSE),IF(FacingSheet!$B$11=30,VLOOKUP(Q60,AgeF,5,FALSE),IF(FacingSheet!$B$11=50,VLOOKUP(Q60,AgeF,6,FALSE),IF(FacingSheet!$B$11=100,VLOOKUP(Q60,AgeF,7,FALSE),"")))))))</f>
        <v>1.9606481481481482E-2</v>
      </c>
      <c r="T60" s="108">
        <f t="shared" si="2"/>
        <v>1.8078703703703704E-2</v>
      </c>
      <c r="U60" s="29"/>
      <c r="V60" s="29"/>
      <c r="W60" s="29"/>
      <c r="X60" s="132"/>
      <c r="Y60" s="132"/>
      <c r="Z60" s="132"/>
    </row>
    <row r="61" spans="1:26">
      <c r="A61" s="36">
        <v>37</v>
      </c>
      <c r="B61" s="133" t="str">
        <f>"Steve"</f>
        <v>Steve</v>
      </c>
      <c r="C61" s="133" t="str">
        <f>"Rae"</f>
        <v>Rae</v>
      </c>
      <c r="D61" s="1" t="str">
        <f t="shared" si="0"/>
        <v>Steve Rae</v>
      </c>
      <c r="E61" s="29" t="str">
        <f>"Ythan CC"</f>
        <v>Ythan CC</v>
      </c>
      <c r="F61" s="29" t="s">
        <v>57</v>
      </c>
      <c r="G61" s="29" t="str">
        <f>"1006831"</f>
        <v>1006831</v>
      </c>
      <c r="H61" s="193">
        <v>1.5833333333333335E-2</v>
      </c>
      <c r="I61" s="131" t="str">
        <f>"28/02/1971"</f>
        <v>28/02/1971</v>
      </c>
      <c r="J61" s="100">
        <f>IF(FacingSheet!$B$11=10,IF(ISERROR(((((H61*1440)-20)*60)-(((H61*1440)-20)^1.6)*2.5)/86400),"",((((H61*1440)-20)*60)-(((H61*1440)-20)^1.6)*2.5)/86400),"")</f>
        <v>1.7941720812049324E-3</v>
      </c>
      <c r="K61" s="100" t="str">
        <f>IF(FacingSheet!$B$11=15,IF(ISERROR(((((H61*1440)-33)*60)-(((H61*1440)-33)^1.6)*1.667)/86400),"",((((H61*1440)-33)*60)-(((H61*1440)-33)^1.6)*1.667)/86400),"")</f>
        <v/>
      </c>
      <c r="L61" s="100" t="str">
        <f>IF(FacingSheet!$B$11=25,IF(ISERROR(((((H61*1440)-50)*60)-(((H61*1440)-50)^1.6))/86400),"",((((H61*1440)-50)*60)-(((H61*1440)-50)^1.6))/86400),"")</f>
        <v/>
      </c>
      <c r="M61" s="100" t="str">
        <f>IF(FacingSheet!$B$11=30,IF(ISERROR(((((H61*1440)-60)*60)-((((H61*1440)-60)^1.6))/1.2)/86400),"",((((H61*1440)-60)*60)-((((H61*1440)-60)^1.6))/1.2)/86400),"")</f>
        <v/>
      </c>
      <c r="N61" s="100" t="str">
        <f>IF(FacingSheet!$B$11=50,IF(ISERROR(((((H61*1440)-105)*60)-((((H61*1440)-105)^1.6))/2)/86400),"",((((H61*1440)-105)*60)-((((H61*1440)-105)^1.6))/2)/86400),"")</f>
        <v/>
      </c>
      <c r="O61" s="100" t="str">
        <f>IF(FacingSheet!$B$11=100,IF(ISERROR(((((H61*1440)-230)*60)-((((H61*1440)-230)^1.6))/4)/86400),"",((((H61*1440)-230)*60)-((((H61*1440)-230)^1.6))/4)/86400),"")</f>
        <v/>
      </c>
      <c r="P61" s="108">
        <f>IF(FacingSheet!$B$11=10,J61,IF(FacingSheet!$B$11=15,K61,IF(FacingSheet!$B$11=25,L61,IF(FacingSheet!$B$11=30,M61,IF(FacingSheet!$B$11=50,N61,IF(FacingSheet!$B$11=100,O61,""))))))</f>
        <v>1.7941720812049324E-3</v>
      </c>
      <c r="Q61" s="65">
        <f>IF(OR(F61="V",F61="FV"),IF(I61="","",IF(MONTH(FacingSheet!$S$9)&gt;MONTH(I61),YEAR(FacingSheet!$S$9)-YEAR(I61),IF(AND(MONTH(FacingSheet!$S$9)=MONTH(I61),DAY(FacingSheet!$S$9)&gt;=DAY(I61)),YEAR(FacingSheet!$S$9)-YEAR(I61),(YEAR(FacingSheet!$S$9)-YEAR(I61))-1))),"")</f>
        <v>54</v>
      </c>
      <c r="R61" s="108">
        <f>IF(Q61="","",IF(FacingSheet!$B$11=10,VLOOKUP(Q61,Age,2,FALSE),IF(FacingSheet!$B$11=15,VLOOKUP(Q61,Age,3,FALSE),IF(FacingSheet!$B$11=25,VLOOKUP(Q61,Age,4,FALSE),IF(FacingSheet!$B$11=30,VLOOKUP(Q61,Age,5,FALSE),IF(FacingSheet!$B$11=50,VLOOKUP(Q61,Age,6,FALSE),IF(FacingSheet!$B$11=100,VLOOKUP(Q61,Age,7,FALSE),"")))))))</f>
        <v>1.8831018518518518E-2</v>
      </c>
      <c r="S61" s="108">
        <f>IF(Q61="","",IF(FacingSheet!$B$11=10,VLOOKUP(Q61,AgeF,2,FALSE),IF(FacingSheet!$B$11=15,VLOOKUP(Q61,AgeF,3,FALSE),IF(FacingSheet!$B$11=25,VLOOKUP(Q61,AgeF,4,FALSE),IF(FacingSheet!$B$11=30,VLOOKUP(Q61,AgeF,5,FALSE),IF(FacingSheet!$B$11=50,VLOOKUP(Q61,AgeF,6,FALSE),IF(FacingSheet!$B$11=100,VLOOKUP(Q61,AgeF,7,FALSE),"")))))))</f>
        <v>2.045138888888889E-2</v>
      </c>
      <c r="T61" s="108">
        <f t="shared" si="2"/>
        <v>1.8831018518518518E-2</v>
      </c>
      <c r="U61" s="29"/>
      <c r="V61" s="29"/>
      <c r="W61" s="29"/>
      <c r="X61" s="132"/>
      <c r="Y61" s="132"/>
      <c r="Z61" s="132"/>
    </row>
    <row r="62" spans="1:26">
      <c r="A62" s="36">
        <v>65</v>
      </c>
      <c r="B62" s="133" t="str">
        <f>"Matiss"</f>
        <v>Matiss</v>
      </c>
      <c r="C62" s="133" t="str">
        <f>"Robertson"</f>
        <v>Robertson</v>
      </c>
      <c r="D62" s="1" t="str">
        <f t="shared" si="0"/>
        <v>Matiss Robertson</v>
      </c>
      <c r="E62" s="29" t="str">
        <f>"RT23"</f>
        <v>RT23</v>
      </c>
      <c r="F62" s="29" t="s">
        <v>58</v>
      </c>
      <c r="G62" s="29" t="str">
        <f>"1458410"</f>
        <v>1458410</v>
      </c>
      <c r="H62" s="193">
        <v>1.3865740740740741E-2</v>
      </c>
      <c r="I62" s="131" t="str">
        <f>"30/11/2001"</f>
        <v>30/11/2001</v>
      </c>
      <c r="J62" s="100" t="str">
        <f>IF(FacingSheet!$B$11=10,IF(ISERROR(((((H62*1440)-20)*60)-(((H62*1440)-20)^1.6)*2.5)/86400),"",((((H62*1440)-20)*60)-(((H62*1440)-20)^1.6)*2.5)/86400),"")</f>
        <v/>
      </c>
      <c r="K62" s="100" t="str">
        <f>IF(FacingSheet!$B$11=15,IF(ISERROR(((((H62*1440)-33)*60)-(((H62*1440)-33)^1.6)*1.667)/86400),"",((((H62*1440)-33)*60)-(((H62*1440)-33)^1.6)*1.667)/86400),"")</f>
        <v/>
      </c>
      <c r="L62" s="100" t="str">
        <f>IF(FacingSheet!$B$11=25,IF(ISERROR(((((H62*1440)-50)*60)-(((H62*1440)-50)^1.6))/86400),"",((((H62*1440)-50)*60)-(((H62*1440)-50)^1.6))/86400),"")</f>
        <v/>
      </c>
      <c r="M62" s="100" t="str">
        <f>IF(FacingSheet!$B$11=30,IF(ISERROR(((((H62*1440)-60)*60)-((((H62*1440)-60)^1.6))/1.2)/86400),"",((((H62*1440)-60)*60)-((((H62*1440)-60)^1.6))/1.2)/86400),"")</f>
        <v/>
      </c>
      <c r="N62" s="100" t="str">
        <f>IF(FacingSheet!$B$11=50,IF(ISERROR(((((H62*1440)-105)*60)-((((H62*1440)-105)^1.6))/2)/86400),"",((((H62*1440)-105)*60)-((((H62*1440)-105)^1.6))/2)/86400),"")</f>
        <v/>
      </c>
      <c r="O62" s="100" t="str">
        <f>IF(FacingSheet!$B$11=100,IF(ISERROR(((((H62*1440)-230)*60)-((((H62*1440)-230)^1.6))/4)/86400),"",((((H62*1440)-230)*60)-((((H62*1440)-230)^1.6))/4)/86400),"")</f>
        <v/>
      </c>
      <c r="P62" s="108" t="str">
        <f>IF(FacingSheet!$B$11=10,J62,IF(FacingSheet!$B$11=15,K62,IF(FacingSheet!$B$11=25,L62,IF(FacingSheet!$B$11=30,M62,IF(FacingSheet!$B$11=50,N62,IF(FacingSheet!$B$11=100,O62,""))))))</f>
        <v/>
      </c>
      <c r="Q62" s="65" t="str">
        <f>IF(OR(F62="V",F62="FV"),IF(I62="","",IF(MONTH(FacingSheet!$S$9)&gt;MONTH(I62),YEAR(FacingSheet!$S$9)-YEAR(I62),IF(AND(MONTH(FacingSheet!$S$9)=MONTH(I62),DAY(FacingSheet!$S$9)&gt;=DAY(I62)),YEAR(FacingSheet!$S$9)-YEAR(I62),(YEAR(FacingSheet!$S$9)-YEAR(I62))-1))),"")</f>
        <v/>
      </c>
      <c r="R62" s="108" t="str">
        <f>IF(Q62="","",IF(FacingSheet!$B$11=10,VLOOKUP(Q62,Age,2,FALSE),IF(FacingSheet!$B$11=15,VLOOKUP(Q62,Age,3,FALSE),IF(FacingSheet!$B$11=25,VLOOKUP(Q62,Age,4,FALSE),IF(FacingSheet!$B$11=30,VLOOKUP(Q62,Age,5,FALSE),IF(FacingSheet!$B$11=50,VLOOKUP(Q62,Age,6,FALSE),IF(FacingSheet!$B$11=100,VLOOKUP(Q62,Age,7,FALSE),"")))))))</f>
        <v/>
      </c>
      <c r="S62" s="108" t="str">
        <f>IF(Q62="","",IF(FacingSheet!$B$11=10,VLOOKUP(Q62,AgeF,2,FALSE),IF(FacingSheet!$B$11=15,VLOOKUP(Q62,AgeF,3,FALSE),IF(FacingSheet!$B$11=25,VLOOKUP(Q62,AgeF,4,FALSE),IF(FacingSheet!$B$11=30,VLOOKUP(Q62,AgeF,5,FALSE),IF(FacingSheet!$B$11=50,VLOOKUP(Q62,AgeF,6,FALSE),IF(FacingSheet!$B$11=100,VLOOKUP(Q62,AgeF,7,FALSE),"")))))))</f>
        <v/>
      </c>
      <c r="T62" s="108" t="str">
        <f t="shared" si="2"/>
        <v/>
      </c>
      <c r="U62" s="29"/>
      <c r="V62" s="29"/>
      <c r="W62" s="29"/>
      <c r="X62" s="132"/>
      <c r="Y62" s="132"/>
      <c r="Z62" s="132"/>
    </row>
    <row r="63" spans="1:26">
      <c r="A63" s="36">
        <v>33</v>
      </c>
      <c r="B63" s="133" t="str">
        <f>"James"</f>
        <v>James</v>
      </c>
      <c r="C63" s="133" t="str">
        <f>"Shewan"</f>
        <v>Shewan</v>
      </c>
      <c r="D63" s="1" t="str">
        <f t="shared" si="0"/>
        <v>James Shewan</v>
      </c>
      <c r="E63" s="29" t="str">
        <f>"Moray Firth Cycling Club"</f>
        <v>Moray Firth Cycling Club</v>
      </c>
      <c r="F63" s="29" t="s">
        <v>58</v>
      </c>
      <c r="G63" s="29" t="str">
        <f>"1253402"</f>
        <v>1253402</v>
      </c>
      <c r="H63" s="193">
        <v>1.5960648148148147E-2</v>
      </c>
      <c r="I63" s="131" t="str">
        <f>"03/07/1987"</f>
        <v>03/07/1987</v>
      </c>
      <c r="J63" s="100">
        <f>IF(FacingSheet!$B$11=10,IF(ISERROR(((((H63*1440)-20)*60)-(((H63*1440)-20)^1.6)*2.5)/86400),"",((((H63*1440)-20)*60)-(((H63*1440)-20)^1.6)*2.5)/86400),"")</f>
        <v>1.9054374827382203E-3</v>
      </c>
      <c r="K63" s="100" t="str">
        <f>IF(FacingSheet!$B$11=15,IF(ISERROR(((((H63*1440)-33)*60)-(((H63*1440)-33)^1.6)*1.667)/86400),"",((((H63*1440)-33)*60)-(((H63*1440)-33)^1.6)*1.667)/86400),"")</f>
        <v/>
      </c>
      <c r="L63" s="100" t="str">
        <f>IF(FacingSheet!$B$11=25,IF(ISERROR(((((H63*1440)-50)*60)-(((H63*1440)-50)^1.6))/86400),"",((((H63*1440)-50)*60)-(((H63*1440)-50)^1.6))/86400),"")</f>
        <v/>
      </c>
      <c r="M63" s="100" t="str">
        <f>IF(FacingSheet!$B$11=30,IF(ISERROR(((((H63*1440)-60)*60)-((((H63*1440)-60)^1.6))/1.2)/86400),"",((((H63*1440)-60)*60)-((((H63*1440)-60)^1.6))/1.2)/86400),"")</f>
        <v/>
      </c>
      <c r="N63" s="100" t="str">
        <f>IF(FacingSheet!$B$11=50,IF(ISERROR(((((H63*1440)-105)*60)-((((H63*1440)-105)^1.6))/2)/86400),"",((((H63*1440)-105)*60)-((((H63*1440)-105)^1.6))/2)/86400),"")</f>
        <v/>
      </c>
      <c r="O63" s="100" t="str">
        <f>IF(FacingSheet!$B$11=100,IF(ISERROR(((((H63*1440)-230)*60)-((((H63*1440)-230)^1.6))/4)/86400),"",((((H63*1440)-230)*60)-((((H63*1440)-230)^1.6))/4)/86400),"")</f>
        <v/>
      </c>
      <c r="P63" s="108">
        <f>IF(FacingSheet!$B$11=10,J63,IF(FacingSheet!$B$11=15,K63,IF(FacingSheet!$B$11=25,L63,IF(FacingSheet!$B$11=30,M63,IF(FacingSheet!$B$11=50,N63,IF(FacingSheet!$B$11=100,O63,""))))))</f>
        <v>1.9054374827382203E-3</v>
      </c>
      <c r="Q63" s="65" t="str">
        <f>IF(OR(F63="V",F63="FV"),IF(I63="","",IF(MONTH(FacingSheet!$S$9)&gt;MONTH(I63),YEAR(FacingSheet!$S$9)-YEAR(I63),IF(AND(MONTH(FacingSheet!$S$9)=MONTH(I63),DAY(FacingSheet!$S$9)&gt;=DAY(I63)),YEAR(FacingSheet!$S$9)-YEAR(I63),(YEAR(FacingSheet!$S$9)-YEAR(I63))-1))),"")</f>
        <v/>
      </c>
      <c r="R63" s="108" t="str">
        <f>IF(Q63="","",IF(FacingSheet!$B$11=10,VLOOKUP(Q63,Age,2,FALSE),IF(FacingSheet!$B$11=15,VLOOKUP(Q63,Age,3,FALSE),IF(FacingSheet!$B$11=25,VLOOKUP(Q63,Age,4,FALSE),IF(FacingSheet!$B$11=30,VLOOKUP(Q63,Age,5,FALSE),IF(FacingSheet!$B$11=50,VLOOKUP(Q63,Age,6,FALSE),IF(FacingSheet!$B$11=100,VLOOKUP(Q63,Age,7,FALSE),"")))))))</f>
        <v/>
      </c>
      <c r="S63" s="108" t="str">
        <f>IF(Q63="","",IF(FacingSheet!$B$11=10,VLOOKUP(Q63,AgeF,2,FALSE),IF(FacingSheet!$B$11=15,VLOOKUP(Q63,AgeF,3,FALSE),IF(FacingSheet!$B$11=25,VLOOKUP(Q63,AgeF,4,FALSE),IF(FacingSheet!$B$11=30,VLOOKUP(Q63,AgeF,5,FALSE),IF(FacingSheet!$B$11=50,VLOOKUP(Q63,AgeF,6,FALSE),IF(FacingSheet!$B$11=100,VLOOKUP(Q63,AgeF,7,FALSE),"")))))))</f>
        <v/>
      </c>
      <c r="T63" s="108" t="str">
        <f t="shared" si="2"/>
        <v/>
      </c>
      <c r="U63" s="29"/>
      <c r="V63" s="29"/>
      <c r="W63" s="29"/>
      <c r="X63" s="132"/>
      <c r="Y63" s="132"/>
      <c r="Z63" s="132"/>
    </row>
    <row r="64" spans="1:26">
      <c r="A64" s="36">
        <v>74</v>
      </c>
      <c r="B64" s="133" t="str">
        <f>"Norman"</f>
        <v>Norman</v>
      </c>
      <c r="C64" s="133" t="str">
        <f>"Skene"</f>
        <v>Skene</v>
      </c>
      <c r="D64" s="1" t="str">
        <f t="shared" si="0"/>
        <v>Norman Skene</v>
      </c>
      <c r="E64" s="29" t="str">
        <f>"Velocity 44 RT"</f>
        <v>Velocity 44 RT</v>
      </c>
      <c r="F64" s="29" t="s">
        <v>57</v>
      </c>
      <c r="G64" s="29" t="str">
        <f>"202406"</f>
        <v>202406</v>
      </c>
      <c r="H64" s="193">
        <v>1.6018518518518519E-2</v>
      </c>
      <c r="I64" s="131" t="str">
        <f>"05/07/1955"</f>
        <v>05/07/1955</v>
      </c>
      <c r="J64" s="100">
        <f>IF(FacingSheet!$B$11=10,IF(ISERROR(((((H64*1440)-20)*60)-(((H64*1440)-20)^1.6)*2.5)/86400),"",((((H64*1440)-20)*60)-(((H64*1440)-20)^1.6)*2.5)/86400),"")</f>
        <v>1.9558124165231449E-3</v>
      </c>
      <c r="K64" s="100" t="str">
        <f>IF(FacingSheet!$B$11=15,IF(ISERROR(((((H64*1440)-33)*60)-(((H64*1440)-33)^1.6)*1.667)/86400),"",((((H64*1440)-33)*60)-(((H64*1440)-33)^1.6)*1.667)/86400),"")</f>
        <v/>
      </c>
      <c r="L64" s="100" t="str">
        <f>IF(FacingSheet!$B$11=25,IF(ISERROR(((((H64*1440)-50)*60)-(((H64*1440)-50)^1.6))/86400),"",((((H64*1440)-50)*60)-(((H64*1440)-50)^1.6))/86400),"")</f>
        <v/>
      </c>
      <c r="M64" s="100" t="str">
        <f>IF(FacingSheet!$B$11=30,IF(ISERROR(((((H64*1440)-60)*60)-((((H64*1440)-60)^1.6))/1.2)/86400),"",((((H64*1440)-60)*60)-((((H64*1440)-60)^1.6))/1.2)/86400),"")</f>
        <v/>
      </c>
      <c r="N64" s="100" t="str">
        <f>IF(FacingSheet!$B$11=50,IF(ISERROR(((((H64*1440)-105)*60)-((((H64*1440)-105)^1.6))/2)/86400),"",((((H64*1440)-105)*60)-((((H64*1440)-105)^1.6))/2)/86400),"")</f>
        <v/>
      </c>
      <c r="O64" s="100" t="str">
        <f>IF(FacingSheet!$B$11=100,IF(ISERROR(((((H64*1440)-230)*60)-((((H64*1440)-230)^1.6))/4)/86400),"",((((H64*1440)-230)*60)-((((H64*1440)-230)^1.6))/4)/86400),"")</f>
        <v/>
      </c>
      <c r="P64" s="108">
        <f>IF(FacingSheet!$B$11=10,J64,IF(FacingSheet!$B$11=15,K64,IF(FacingSheet!$B$11=25,L64,IF(FacingSheet!$B$11=30,M64,IF(FacingSheet!$B$11=50,N64,IF(FacingSheet!$B$11=100,O64,""))))))</f>
        <v>1.9558124165231449E-3</v>
      </c>
      <c r="Q64" s="65">
        <f>IF(OR(F64="V",F64="FV"),IF(I64="","",IF(MONTH(FacingSheet!$S$9)&gt;MONTH(I64),YEAR(FacingSheet!$S$9)-YEAR(I64),IF(AND(MONTH(FacingSheet!$S$9)=MONTH(I64),DAY(FacingSheet!$S$9)&gt;=DAY(I64)),YEAR(FacingSheet!$S$9)-YEAR(I64),(YEAR(FacingSheet!$S$9)-YEAR(I64))-1))),"")</f>
        <v>70</v>
      </c>
      <c r="R64" s="108">
        <f>IF(Q64="","",IF(FacingSheet!$B$11=10,VLOOKUP(Q64,Age,2,FALSE),IF(FacingSheet!$B$11=15,VLOOKUP(Q64,Age,3,FALSE),IF(FacingSheet!$B$11=25,VLOOKUP(Q64,Age,4,FALSE),IF(FacingSheet!$B$11=30,VLOOKUP(Q64,Age,5,FALSE),IF(FacingSheet!$B$11=50,VLOOKUP(Q64,Age,6,FALSE),IF(FacingSheet!$B$11=100,VLOOKUP(Q64,Age,7,FALSE),"")))))))</f>
        <v>2.011574074074074E-2</v>
      </c>
      <c r="S64" s="108">
        <f>IF(Q64="","",IF(FacingSheet!$B$11=10,VLOOKUP(Q64,AgeF,2,FALSE),IF(FacingSheet!$B$11=15,VLOOKUP(Q64,AgeF,3,FALSE),IF(FacingSheet!$B$11=25,VLOOKUP(Q64,AgeF,4,FALSE),IF(FacingSheet!$B$11=30,VLOOKUP(Q64,AgeF,5,FALSE),IF(FacingSheet!$B$11=50,VLOOKUP(Q64,AgeF,6,FALSE),IF(FacingSheet!$B$11=100,VLOOKUP(Q64,AgeF,7,FALSE),"")))))))</f>
        <v>2.1874999999999999E-2</v>
      </c>
      <c r="T64" s="108">
        <f t="shared" si="2"/>
        <v>2.011574074074074E-2</v>
      </c>
      <c r="U64" s="29"/>
      <c r="V64" s="29"/>
      <c r="W64" s="29"/>
      <c r="X64" s="132"/>
      <c r="Y64" s="132"/>
      <c r="Z64" s="132"/>
    </row>
    <row r="65" spans="1:26">
      <c r="A65" s="36">
        <v>71</v>
      </c>
      <c r="B65" s="133" t="str">
        <f>"Kevin"</f>
        <v>Kevin</v>
      </c>
      <c r="C65" s="133" t="str">
        <f>"Smith"</f>
        <v>Smith</v>
      </c>
      <c r="D65" s="1" t="str">
        <f t="shared" si="0"/>
        <v>Kevin Smith</v>
      </c>
      <c r="E65" s="29" t="str">
        <f>"Moray Firth Cycling Club"</f>
        <v>Moray Firth Cycling Club</v>
      </c>
      <c r="F65" s="29" t="s">
        <v>57</v>
      </c>
      <c r="G65" s="29" t="str">
        <f>"1253030"</f>
        <v>1253030</v>
      </c>
      <c r="H65" s="193">
        <v>1.6458333333333332E-2</v>
      </c>
      <c r="I65" s="131" t="str">
        <f>"16/10/1980"</f>
        <v>16/10/1980</v>
      </c>
      <c r="J65" s="100">
        <f>IF(FacingSheet!$B$11=10,IF(ISERROR(((((H65*1440)-20)*60)-(((H65*1440)-20)^1.6)*2.5)/86400),"",((((H65*1440)-20)*60)-(((H65*1440)-20)^1.6)*2.5)/86400),"")</f>
        <v>2.3347250237111187E-3</v>
      </c>
      <c r="K65" s="100" t="str">
        <f>IF(FacingSheet!$B$11=15,IF(ISERROR(((((H65*1440)-33)*60)-(((H65*1440)-33)^1.6)*1.667)/86400),"",((((H65*1440)-33)*60)-(((H65*1440)-33)^1.6)*1.667)/86400),"")</f>
        <v/>
      </c>
      <c r="L65" s="100" t="str">
        <f>IF(FacingSheet!$B$11=25,IF(ISERROR(((((H65*1440)-50)*60)-(((H65*1440)-50)^1.6))/86400),"",((((H65*1440)-50)*60)-(((H65*1440)-50)^1.6))/86400),"")</f>
        <v/>
      </c>
      <c r="M65" s="100" t="str">
        <f>IF(FacingSheet!$B$11=30,IF(ISERROR(((((H65*1440)-60)*60)-((((H65*1440)-60)^1.6))/1.2)/86400),"",((((H65*1440)-60)*60)-((((H65*1440)-60)^1.6))/1.2)/86400),"")</f>
        <v/>
      </c>
      <c r="N65" s="100" t="str">
        <f>IF(FacingSheet!$B$11=50,IF(ISERROR(((((H65*1440)-105)*60)-((((H65*1440)-105)^1.6))/2)/86400),"",((((H65*1440)-105)*60)-((((H65*1440)-105)^1.6))/2)/86400),"")</f>
        <v/>
      </c>
      <c r="O65" s="100" t="str">
        <f>IF(FacingSheet!$B$11=100,IF(ISERROR(((((H65*1440)-230)*60)-((((H65*1440)-230)^1.6))/4)/86400),"",((((H65*1440)-230)*60)-((((H65*1440)-230)^1.6))/4)/86400),"")</f>
        <v/>
      </c>
      <c r="P65" s="108">
        <f>IF(FacingSheet!$B$11=10,J65,IF(FacingSheet!$B$11=15,K65,IF(FacingSheet!$B$11=25,L65,IF(FacingSheet!$B$11=30,M65,IF(FacingSheet!$B$11=50,N65,IF(FacingSheet!$B$11=100,O65,""))))))</f>
        <v>2.3347250237111187E-3</v>
      </c>
      <c r="Q65" s="65">
        <f>IF(OR(F65="V",F65="FV"),IF(I65="","",IF(MONTH(FacingSheet!$S$9)&gt;MONTH(I65),YEAR(FacingSheet!$S$9)-YEAR(I65),IF(AND(MONTH(FacingSheet!$S$9)=MONTH(I65),DAY(FacingSheet!$S$9)&gt;=DAY(I65)),YEAR(FacingSheet!$S$9)-YEAR(I65),(YEAR(FacingSheet!$S$9)-YEAR(I65))-1))),"")</f>
        <v>44</v>
      </c>
      <c r="R65" s="108">
        <f>IF(Q65="","",IF(FacingSheet!$B$11=10,VLOOKUP(Q65,Age,2,FALSE),IF(FacingSheet!$B$11=15,VLOOKUP(Q65,Age,3,FALSE),IF(FacingSheet!$B$11=25,VLOOKUP(Q65,Age,4,FALSE),IF(FacingSheet!$B$11=30,VLOOKUP(Q65,Age,5,FALSE),IF(FacingSheet!$B$11=50,VLOOKUP(Q65,Age,6,FALSE),IF(FacingSheet!$B$11=100,VLOOKUP(Q65,Age,7,FALSE),"")))))))</f>
        <v>1.8310185185185186E-2</v>
      </c>
      <c r="S65" s="108">
        <f>IF(Q65="","",IF(FacingSheet!$B$11=10,VLOOKUP(Q65,AgeF,2,FALSE),IF(FacingSheet!$B$11=15,VLOOKUP(Q65,AgeF,3,FALSE),IF(FacingSheet!$B$11=25,VLOOKUP(Q65,AgeF,4,FALSE),IF(FacingSheet!$B$11=30,VLOOKUP(Q65,AgeF,5,FALSE),IF(FacingSheet!$B$11=50,VLOOKUP(Q65,AgeF,6,FALSE),IF(FacingSheet!$B$11=100,VLOOKUP(Q65,AgeF,7,FALSE),"")))))))</f>
        <v>1.9861111111111111E-2</v>
      </c>
      <c r="T65" s="108">
        <f t="shared" si="2"/>
        <v>1.8310185185185186E-2</v>
      </c>
      <c r="U65" s="29"/>
      <c r="V65" s="29"/>
      <c r="W65" s="29"/>
      <c r="X65" s="132"/>
      <c r="Y65" s="132"/>
      <c r="Z65" s="132"/>
    </row>
    <row r="66" spans="1:26">
      <c r="A66" s="36">
        <v>67</v>
      </c>
      <c r="B66" s="133" t="str">
        <f>"William"</f>
        <v>William</v>
      </c>
      <c r="C66" s="133" t="str">
        <f>"Sutherland"</f>
        <v>Sutherland</v>
      </c>
      <c r="D66" s="1" t="str">
        <f t="shared" si="0"/>
        <v>William Sutherland</v>
      </c>
      <c r="E66" s="29" t="str">
        <f>"Ross-Shire RCC"</f>
        <v>Ross-Shire RCC</v>
      </c>
      <c r="F66" s="29" t="s">
        <v>58</v>
      </c>
      <c r="G66" s="29" t="str">
        <f>"1713297"</f>
        <v>1713297</v>
      </c>
      <c r="H66" s="193"/>
      <c r="I66" s="131" t="str">
        <f>"29/04/1987"</f>
        <v>29/04/1987</v>
      </c>
      <c r="J66" s="100" t="str">
        <f>IF(FacingSheet!$B$11=10,IF(ISERROR(((((H66*1440)-20)*60)-(((H66*1440)-20)^1.6)*2.5)/86400),"",((((H66*1440)-20)*60)-(((H66*1440)-20)^1.6)*2.5)/86400),"")</f>
        <v/>
      </c>
      <c r="K66" s="100" t="str">
        <f>IF(FacingSheet!$B$11=15,IF(ISERROR(((((H66*1440)-33)*60)-(((H66*1440)-33)^1.6)*1.667)/86400),"",((((H66*1440)-33)*60)-(((H66*1440)-33)^1.6)*1.667)/86400),"")</f>
        <v/>
      </c>
      <c r="L66" s="100" t="str">
        <f>IF(FacingSheet!$B$11=25,IF(ISERROR(((((H66*1440)-50)*60)-(((H66*1440)-50)^1.6))/86400),"",((((H66*1440)-50)*60)-(((H66*1440)-50)^1.6))/86400),"")</f>
        <v/>
      </c>
      <c r="M66" s="100" t="str">
        <f>IF(FacingSheet!$B$11=30,IF(ISERROR(((((H66*1440)-60)*60)-((((H66*1440)-60)^1.6))/1.2)/86400),"",((((H66*1440)-60)*60)-((((H66*1440)-60)^1.6))/1.2)/86400),"")</f>
        <v/>
      </c>
      <c r="N66" s="100" t="str">
        <f>IF(FacingSheet!$B$11=50,IF(ISERROR(((((H66*1440)-105)*60)-((((H66*1440)-105)^1.6))/2)/86400),"",((((H66*1440)-105)*60)-((((H66*1440)-105)^1.6))/2)/86400),"")</f>
        <v/>
      </c>
      <c r="O66" s="100" t="str">
        <f>IF(FacingSheet!$B$11=100,IF(ISERROR(((((H66*1440)-230)*60)-((((H66*1440)-230)^1.6))/4)/86400),"",((((H66*1440)-230)*60)-((((H66*1440)-230)^1.6))/4)/86400),"")</f>
        <v/>
      </c>
      <c r="P66" s="108" t="str">
        <f>IF(FacingSheet!$B$11=10,J66,IF(FacingSheet!$B$11=15,K66,IF(FacingSheet!$B$11=25,L66,IF(FacingSheet!$B$11=30,M66,IF(FacingSheet!$B$11=50,N66,IF(FacingSheet!$B$11=100,O66,""))))))</f>
        <v/>
      </c>
      <c r="Q66" s="65" t="str">
        <f>IF(OR(F66="V",F66="FV"),IF(I66="","",IF(MONTH(FacingSheet!$S$9)&gt;MONTH(I66),YEAR(FacingSheet!$S$9)-YEAR(I66),IF(AND(MONTH(FacingSheet!$S$9)=MONTH(I66),DAY(FacingSheet!$S$9)&gt;=DAY(I66)),YEAR(FacingSheet!$S$9)-YEAR(I66),(YEAR(FacingSheet!$S$9)-YEAR(I66))-1))),"")</f>
        <v/>
      </c>
      <c r="R66" s="108" t="str">
        <f>IF(Q66="","",IF(FacingSheet!$B$11=10,VLOOKUP(Q66,Age,2,FALSE),IF(FacingSheet!$B$11=15,VLOOKUP(Q66,Age,3,FALSE),IF(FacingSheet!$B$11=25,VLOOKUP(Q66,Age,4,FALSE),IF(FacingSheet!$B$11=30,VLOOKUP(Q66,Age,5,FALSE),IF(FacingSheet!$B$11=50,VLOOKUP(Q66,Age,6,FALSE),IF(FacingSheet!$B$11=100,VLOOKUP(Q66,Age,7,FALSE),"")))))))</f>
        <v/>
      </c>
      <c r="S66" s="108" t="str">
        <f>IF(Q66="","",IF(FacingSheet!$B$11=10,VLOOKUP(Q66,AgeF,2,FALSE),IF(FacingSheet!$B$11=15,VLOOKUP(Q66,AgeF,3,FALSE),IF(FacingSheet!$B$11=25,VLOOKUP(Q66,AgeF,4,FALSE),IF(FacingSheet!$B$11=30,VLOOKUP(Q66,AgeF,5,FALSE),IF(FacingSheet!$B$11=50,VLOOKUP(Q66,AgeF,6,FALSE),IF(FacingSheet!$B$11=100,VLOOKUP(Q66,AgeF,7,FALSE),"")))))))</f>
        <v/>
      </c>
      <c r="T66" s="108" t="str">
        <f t="shared" si="2"/>
        <v/>
      </c>
      <c r="U66" s="29"/>
      <c r="V66" s="29"/>
      <c r="W66" s="29"/>
      <c r="X66" s="132"/>
      <c r="Y66" s="132"/>
      <c r="Z66" s="132"/>
    </row>
    <row r="67" spans="1:26">
      <c r="A67" s="36">
        <v>10</v>
      </c>
      <c r="B67" s="133" t="str">
        <f>"Mark"</f>
        <v>Mark</v>
      </c>
      <c r="C67" s="133" t="str">
        <f>"Walker"</f>
        <v>Walker</v>
      </c>
      <c r="D67" s="1" t="str">
        <f t="shared" ref="D67:D130" si="3">CONCATENATE(B67," ",C67)</f>
        <v>Mark Walker</v>
      </c>
      <c r="E67" s="29" t="str">
        <f>"Deeside Thistle CC"</f>
        <v>Deeside Thistle CC</v>
      </c>
      <c r="F67" s="29" t="s">
        <v>57</v>
      </c>
      <c r="G67" s="29" t="str">
        <f>"1071246"</f>
        <v>1071246</v>
      </c>
      <c r="H67" s="193">
        <v>1.4652777777777778E-2</v>
      </c>
      <c r="I67" s="131" t="str">
        <f>"05/03/1975"</f>
        <v>05/03/1975</v>
      </c>
      <c r="J67" s="100">
        <f>IF(FacingSheet!$B$11=10,IF(ISERROR(((((H67*1440)-20)*60)-(((H67*1440)-20)^1.6)*2.5)/86400),"",((((H67*1440)-20)*60)-(((H67*1440)-20)^1.6)*2.5)/86400),"")</f>
        <v>7.3018697516742095E-4</v>
      </c>
      <c r="K67" s="100" t="str">
        <f>IF(FacingSheet!$B$11=15,IF(ISERROR(((((H67*1440)-33)*60)-(((H67*1440)-33)^1.6)*1.667)/86400),"",((((H67*1440)-33)*60)-(((H67*1440)-33)^1.6)*1.667)/86400),"")</f>
        <v/>
      </c>
      <c r="L67" s="100" t="str">
        <f>IF(FacingSheet!$B$11=25,IF(ISERROR(((((H67*1440)-50)*60)-(((H67*1440)-50)^1.6))/86400),"",((((H67*1440)-50)*60)-(((H67*1440)-50)^1.6))/86400),"")</f>
        <v/>
      </c>
      <c r="M67" s="100" t="str">
        <f>IF(FacingSheet!$B$11=30,IF(ISERROR(((((H67*1440)-60)*60)-((((H67*1440)-60)^1.6))/1.2)/86400),"",((((H67*1440)-60)*60)-((((H67*1440)-60)^1.6))/1.2)/86400),"")</f>
        <v/>
      </c>
      <c r="N67" s="100" t="str">
        <f>IF(FacingSheet!$B$11=50,IF(ISERROR(((((H67*1440)-105)*60)-((((H67*1440)-105)^1.6))/2)/86400),"",((((H67*1440)-105)*60)-((((H67*1440)-105)^1.6))/2)/86400),"")</f>
        <v/>
      </c>
      <c r="O67" s="100" t="str">
        <f>IF(FacingSheet!$B$11=100,IF(ISERROR(((((H67*1440)-230)*60)-((((H67*1440)-230)^1.6))/4)/86400),"",((((H67*1440)-230)*60)-((((H67*1440)-230)^1.6))/4)/86400),"")</f>
        <v/>
      </c>
      <c r="P67" s="108">
        <f>IF(FacingSheet!$B$11=10,J67,IF(FacingSheet!$B$11=15,K67,IF(FacingSheet!$B$11=25,L67,IF(FacingSheet!$B$11=30,M67,IF(FacingSheet!$B$11=50,N67,IF(FacingSheet!$B$11=100,O67,""))))))</f>
        <v>7.3018697516742095E-4</v>
      </c>
      <c r="Q67" s="65">
        <f>IF(OR(F67="V",F67="FV"),IF(I67="","",IF(MONTH(FacingSheet!$S$9)&gt;MONTH(I67),YEAR(FacingSheet!$S$9)-YEAR(I67),IF(AND(MONTH(FacingSheet!$S$9)=MONTH(I67),DAY(FacingSheet!$S$9)&gt;=DAY(I67)),YEAR(FacingSheet!$S$9)-YEAR(I67),(YEAR(FacingSheet!$S$9)-YEAR(I67))-1))),"")</f>
        <v>50</v>
      </c>
      <c r="R67" s="108">
        <f>IF(Q67="","",IF(FacingSheet!$B$11=10,VLOOKUP(Q67,Age,2,FALSE),IF(FacingSheet!$B$11=15,VLOOKUP(Q67,Age,3,FALSE),IF(FacingSheet!$B$11=25,VLOOKUP(Q67,Age,4,FALSE),IF(FacingSheet!$B$11=30,VLOOKUP(Q67,Age,5,FALSE),IF(FacingSheet!$B$11=50,VLOOKUP(Q67,Age,6,FALSE),IF(FacingSheet!$B$11=100,VLOOKUP(Q67,Age,7,FALSE),"")))))))</f>
        <v>1.8622685185185187E-2</v>
      </c>
      <c r="S67" s="108">
        <f>IF(Q67="","",IF(FacingSheet!$B$11=10,VLOOKUP(Q67,AgeF,2,FALSE),IF(FacingSheet!$B$11=15,VLOOKUP(Q67,AgeF,3,FALSE),IF(FacingSheet!$B$11=25,VLOOKUP(Q67,AgeF,4,FALSE),IF(FacingSheet!$B$11=30,VLOOKUP(Q67,AgeF,5,FALSE),IF(FacingSheet!$B$11=50,VLOOKUP(Q67,AgeF,6,FALSE),IF(FacingSheet!$B$11=100,VLOOKUP(Q67,AgeF,7,FALSE),"")))))))</f>
        <v>2.0208333333333332E-2</v>
      </c>
      <c r="T67" s="108">
        <f t="shared" si="2"/>
        <v>1.8622685185185187E-2</v>
      </c>
      <c r="U67" s="29"/>
      <c r="V67" s="29"/>
      <c r="W67" s="29"/>
      <c r="X67" s="132"/>
      <c r="Y67" s="132"/>
      <c r="Z67" s="132"/>
    </row>
    <row r="68" spans="1:26">
      <c r="A68" s="36">
        <v>56</v>
      </c>
      <c r="B68" s="133" t="str">
        <f>"Alasdair"</f>
        <v>Alasdair</v>
      </c>
      <c r="C68" s="133" t="str">
        <f>"Washington"</f>
        <v>Washington</v>
      </c>
      <c r="D68" s="1" t="str">
        <f t="shared" si="3"/>
        <v>Alasdair Washington</v>
      </c>
      <c r="E68" s="29" t="str">
        <f>"Caithness CC"</f>
        <v>Caithness CC</v>
      </c>
      <c r="F68" s="29" t="s">
        <v>57</v>
      </c>
      <c r="G68" s="29" t="str">
        <f>"202161"</f>
        <v>202161</v>
      </c>
      <c r="H68" s="193">
        <v>1.9398148148148147E-2</v>
      </c>
      <c r="I68" s="131" t="str">
        <f>"11/05/1937"</f>
        <v>11/05/1937</v>
      </c>
      <c r="J68" s="100">
        <f>IF(FacingSheet!$B$11=10,IF(ISERROR(((((H68*1440)-20)*60)-(((H68*1440)-20)^1.6)*2.5)/86400),"",((((H68*1440)-20)*60)-(((H68*1440)-20)^1.6)*2.5)/86400),"")</f>
        <v>4.7139145619061852E-3</v>
      </c>
      <c r="K68" s="100" t="str">
        <f>IF(FacingSheet!$B$11=15,IF(ISERROR(((((H68*1440)-33)*60)-(((H68*1440)-33)^1.6)*1.667)/86400),"",((((H68*1440)-33)*60)-(((H68*1440)-33)^1.6)*1.667)/86400),"")</f>
        <v/>
      </c>
      <c r="L68" s="100" t="str">
        <f>IF(FacingSheet!$B$11=25,IF(ISERROR(((((H68*1440)-50)*60)-(((H68*1440)-50)^1.6))/86400),"",((((H68*1440)-50)*60)-(((H68*1440)-50)^1.6))/86400),"")</f>
        <v/>
      </c>
      <c r="M68" s="100" t="str">
        <f>IF(FacingSheet!$B$11=30,IF(ISERROR(((((H68*1440)-60)*60)-((((H68*1440)-60)^1.6))/1.2)/86400),"",((((H68*1440)-60)*60)-((((H68*1440)-60)^1.6))/1.2)/86400),"")</f>
        <v/>
      </c>
      <c r="N68" s="100" t="str">
        <f>IF(FacingSheet!$B$11=50,IF(ISERROR(((((H68*1440)-105)*60)-((((H68*1440)-105)^1.6))/2)/86400),"",((((H68*1440)-105)*60)-((((H68*1440)-105)^1.6))/2)/86400),"")</f>
        <v/>
      </c>
      <c r="O68" s="100" t="str">
        <f>IF(FacingSheet!$B$11=100,IF(ISERROR(((((H68*1440)-230)*60)-((((H68*1440)-230)^1.6))/4)/86400),"",((((H68*1440)-230)*60)-((((H68*1440)-230)^1.6))/4)/86400),"")</f>
        <v/>
      </c>
      <c r="P68" s="108">
        <f>IF(FacingSheet!$B$11=10,J68,IF(FacingSheet!$B$11=15,K68,IF(FacingSheet!$B$11=25,L68,IF(FacingSheet!$B$11=30,M68,IF(FacingSheet!$B$11=50,N68,IF(FacingSheet!$B$11=100,O68,""))))))</f>
        <v>4.7139145619061852E-3</v>
      </c>
      <c r="Q68" s="65">
        <f>IF(OR(F68="V",F68="FV"),IF(I68="","",IF(MONTH(FacingSheet!$S$9)&gt;MONTH(I68),YEAR(FacingSheet!$S$9)-YEAR(I68),IF(AND(MONTH(FacingSheet!$S$9)=MONTH(I68),DAY(FacingSheet!$S$9)&gt;=DAY(I68)),YEAR(FacingSheet!$S$9)-YEAR(I68),(YEAR(FacingSheet!$S$9)-YEAR(I68))-1))),"")</f>
        <v>88</v>
      </c>
      <c r="R68" s="108">
        <f>IF(Q68="","",IF(FacingSheet!$B$11=10,VLOOKUP(Q68,Age,2,FALSE),IF(FacingSheet!$B$11=15,VLOOKUP(Q68,Age,3,FALSE),IF(FacingSheet!$B$11=25,VLOOKUP(Q68,Age,4,FALSE),IF(FacingSheet!$B$11=30,VLOOKUP(Q68,Age,5,FALSE),IF(FacingSheet!$B$11=50,VLOOKUP(Q68,Age,6,FALSE),IF(FacingSheet!$B$11=100,VLOOKUP(Q68,Age,7,FALSE),"")))))))</f>
        <v>2.435185185185185E-2</v>
      </c>
      <c r="S68" s="108">
        <f>IF(Q68="","",IF(FacingSheet!$B$11=10,VLOOKUP(Q68,AgeF,2,FALSE),IF(FacingSheet!$B$11=15,VLOOKUP(Q68,AgeF,3,FALSE),IF(FacingSheet!$B$11=25,VLOOKUP(Q68,AgeF,4,FALSE),IF(FacingSheet!$B$11=30,VLOOKUP(Q68,AgeF,5,FALSE),IF(FacingSheet!$B$11=50,VLOOKUP(Q68,AgeF,6,FALSE),IF(FacingSheet!$B$11=100,VLOOKUP(Q68,AgeF,7,FALSE),"")))))))</f>
        <v>2.6574074074074073E-2</v>
      </c>
      <c r="T68" s="108">
        <f t="shared" si="2"/>
        <v>2.435185185185185E-2</v>
      </c>
      <c r="U68" s="29"/>
      <c r="V68" s="29"/>
      <c r="W68" s="29"/>
      <c r="X68" s="132"/>
      <c r="Y68" s="132"/>
      <c r="Z68" s="132"/>
    </row>
    <row r="69" spans="1:26">
      <c r="A69" s="36">
        <v>59</v>
      </c>
      <c r="B69" s="133" t="str">
        <f>"Alexander"</f>
        <v>Alexander</v>
      </c>
      <c r="C69" s="133" t="str">
        <f>"Whyte"</f>
        <v>Whyte</v>
      </c>
      <c r="D69" s="1" t="str">
        <f t="shared" si="3"/>
        <v>Alexander Whyte</v>
      </c>
      <c r="E69" s="29" t="str">
        <f>"Moray Firth Cycling Club"</f>
        <v>Moray Firth Cycling Club</v>
      </c>
      <c r="F69" s="29" t="s">
        <v>57</v>
      </c>
      <c r="G69" s="29" t="str">
        <f>"202680"</f>
        <v>202680</v>
      </c>
      <c r="H69" s="193">
        <v>1.7592592592592594E-2</v>
      </c>
      <c r="I69" s="131" t="str">
        <f>"23/02/1958"</f>
        <v>23/02/1958</v>
      </c>
      <c r="J69" s="100">
        <f>IF(FacingSheet!$B$11=10,IF(ISERROR(((((H69*1440)-20)*60)-(((H69*1440)-20)^1.6)*2.5)/86400),"",((((H69*1440)-20)*60)-(((H69*1440)-20)^1.6)*2.5)/86400),"")</f>
        <v>3.2823719113005728E-3</v>
      </c>
      <c r="K69" s="100" t="str">
        <f>IF(FacingSheet!$B$11=15,IF(ISERROR(((((H69*1440)-33)*60)-(((H69*1440)-33)^1.6)*1.667)/86400),"",((((H69*1440)-33)*60)-(((H69*1440)-33)^1.6)*1.667)/86400),"")</f>
        <v/>
      </c>
      <c r="L69" s="100" t="str">
        <f>IF(FacingSheet!$B$11=25,IF(ISERROR(((((H69*1440)-50)*60)-(((H69*1440)-50)^1.6))/86400),"",((((H69*1440)-50)*60)-(((H69*1440)-50)^1.6))/86400),"")</f>
        <v/>
      </c>
      <c r="M69" s="100" t="str">
        <f>IF(FacingSheet!$B$11=30,IF(ISERROR(((((H69*1440)-60)*60)-((((H69*1440)-60)^1.6))/1.2)/86400),"",((((H69*1440)-60)*60)-((((H69*1440)-60)^1.6))/1.2)/86400),"")</f>
        <v/>
      </c>
      <c r="N69" s="100" t="str">
        <f>IF(FacingSheet!$B$11=50,IF(ISERROR(((((H69*1440)-105)*60)-((((H69*1440)-105)^1.6))/2)/86400),"",((((H69*1440)-105)*60)-((((H69*1440)-105)^1.6))/2)/86400),"")</f>
        <v/>
      </c>
      <c r="O69" s="100" t="str">
        <f>IF(FacingSheet!$B$11=100,IF(ISERROR(((((H69*1440)-230)*60)-((((H69*1440)-230)^1.6))/4)/86400),"",((((H69*1440)-230)*60)-((((H69*1440)-230)^1.6))/4)/86400),"")</f>
        <v/>
      </c>
      <c r="P69" s="108">
        <f>IF(FacingSheet!$B$11=10,J69,IF(FacingSheet!$B$11=15,K69,IF(FacingSheet!$B$11=25,L69,IF(FacingSheet!$B$11=30,M69,IF(FacingSheet!$B$11=50,N69,IF(FacingSheet!$B$11=100,O69,""))))))</f>
        <v>3.2823719113005728E-3</v>
      </c>
      <c r="Q69" s="65">
        <f>IF(OR(F69="V",F69="FV"),IF(I69="","",IF(MONTH(FacingSheet!$S$9)&gt;MONTH(I69),YEAR(FacingSheet!$S$9)-YEAR(I69),IF(AND(MONTH(FacingSheet!$S$9)=MONTH(I69),DAY(FacingSheet!$S$9)&gt;=DAY(I69)),YEAR(FacingSheet!$S$9)-YEAR(I69),(YEAR(FacingSheet!$S$9)-YEAR(I69))-1))),"")</f>
        <v>67</v>
      </c>
      <c r="R69" s="108">
        <f>IF(Q69="","",IF(FacingSheet!$B$11=10,VLOOKUP(Q69,Age,2,FALSE),IF(FacingSheet!$B$11=15,VLOOKUP(Q69,Age,3,FALSE),IF(FacingSheet!$B$11=25,VLOOKUP(Q69,Age,4,FALSE),IF(FacingSheet!$B$11=30,VLOOKUP(Q69,Age,5,FALSE),IF(FacingSheet!$B$11=50,VLOOKUP(Q69,Age,6,FALSE),IF(FacingSheet!$B$11=100,VLOOKUP(Q69,Age,7,FALSE),"")))))))</f>
        <v>1.9791666666666666E-2</v>
      </c>
      <c r="S69" s="108">
        <f>IF(Q69="","",IF(FacingSheet!$B$11=10,VLOOKUP(Q69,AgeF,2,FALSE),IF(FacingSheet!$B$11=15,VLOOKUP(Q69,AgeF,3,FALSE),IF(FacingSheet!$B$11=25,VLOOKUP(Q69,AgeF,4,FALSE),IF(FacingSheet!$B$11=30,VLOOKUP(Q69,AgeF,5,FALSE),IF(FacingSheet!$B$11=50,VLOOKUP(Q69,AgeF,6,FALSE),IF(FacingSheet!$B$11=100,VLOOKUP(Q69,AgeF,7,FALSE),"")))))))</f>
        <v>2.150462962962963E-2</v>
      </c>
      <c r="T69" s="108">
        <f t="shared" si="2"/>
        <v>1.9791666666666666E-2</v>
      </c>
      <c r="U69" s="29"/>
      <c r="V69" s="29"/>
      <c r="W69" s="29"/>
      <c r="X69" s="132"/>
      <c r="Y69" s="132"/>
      <c r="Z69" s="132"/>
    </row>
    <row r="70" spans="1:26">
      <c r="A70" s="36">
        <v>61</v>
      </c>
      <c r="B70" s="133" t="str">
        <f>"Darren"</f>
        <v>Darren</v>
      </c>
      <c r="C70" s="133" t="str">
        <f>"Wisniewski"</f>
        <v>Wisniewski</v>
      </c>
      <c r="D70" s="1" t="str">
        <f t="shared" si="3"/>
        <v>Darren Wisniewski</v>
      </c>
      <c r="E70" s="29" t="str">
        <f>""</f>
        <v/>
      </c>
      <c r="F70" s="29" t="s">
        <v>58</v>
      </c>
      <c r="G70" s="29" t="str">
        <f>"1863190"</f>
        <v>1863190</v>
      </c>
      <c r="H70" s="193">
        <v>1.7245370370370369E-2</v>
      </c>
      <c r="I70" s="131" t="str">
        <f>"04/07/1990"</f>
        <v>04/07/1990</v>
      </c>
      <c r="J70" s="100">
        <f>IF(FacingSheet!$B$11=10,IF(ISERROR(((((H70*1440)-20)*60)-(((H70*1440)-20)^1.6)*2.5)/86400),"",((((H70*1440)-20)*60)-(((H70*1440)-20)^1.6)*2.5)/86400),"")</f>
        <v>2.996548982061001E-3</v>
      </c>
      <c r="K70" s="100" t="str">
        <f>IF(FacingSheet!$B$11=15,IF(ISERROR(((((H70*1440)-33)*60)-(((H70*1440)-33)^1.6)*1.667)/86400),"",((((H70*1440)-33)*60)-(((H70*1440)-33)^1.6)*1.667)/86400),"")</f>
        <v/>
      </c>
      <c r="L70" s="100" t="str">
        <f>IF(FacingSheet!$B$11=25,IF(ISERROR(((((H70*1440)-50)*60)-(((H70*1440)-50)^1.6))/86400),"",((((H70*1440)-50)*60)-(((H70*1440)-50)^1.6))/86400),"")</f>
        <v/>
      </c>
      <c r="M70" s="100" t="str">
        <f>IF(FacingSheet!$B$11=30,IF(ISERROR(((((H70*1440)-60)*60)-((((H70*1440)-60)^1.6))/1.2)/86400),"",((((H70*1440)-60)*60)-((((H70*1440)-60)^1.6))/1.2)/86400),"")</f>
        <v/>
      </c>
      <c r="N70" s="100" t="str">
        <f>IF(FacingSheet!$B$11=50,IF(ISERROR(((((H70*1440)-105)*60)-((((H70*1440)-105)^1.6))/2)/86400),"",((((H70*1440)-105)*60)-((((H70*1440)-105)^1.6))/2)/86400),"")</f>
        <v/>
      </c>
      <c r="O70" s="100" t="str">
        <f>IF(FacingSheet!$B$11=100,IF(ISERROR(((((H70*1440)-230)*60)-((((H70*1440)-230)^1.6))/4)/86400),"",((((H70*1440)-230)*60)-((((H70*1440)-230)^1.6))/4)/86400),"")</f>
        <v/>
      </c>
      <c r="P70" s="108">
        <f>IF(FacingSheet!$B$11=10,J70,IF(FacingSheet!$B$11=15,K70,IF(FacingSheet!$B$11=25,L70,IF(FacingSheet!$B$11=30,M70,IF(FacingSheet!$B$11=50,N70,IF(FacingSheet!$B$11=100,O70,""))))))</f>
        <v>2.996548982061001E-3</v>
      </c>
      <c r="Q70" s="65" t="str">
        <f>IF(OR(F70="V",F70="FV"),IF(I70="","",IF(MONTH(FacingSheet!$S$9)&gt;MONTH(I70),YEAR(FacingSheet!$S$9)-YEAR(I70),IF(AND(MONTH(FacingSheet!$S$9)=MONTH(I70),DAY(FacingSheet!$S$9)&gt;=DAY(I70)),YEAR(FacingSheet!$S$9)-YEAR(I70),(YEAR(FacingSheet!$S$9)-YEAR(I70))-1))),"")</f>
        <v/>
      </c>
      <c r="R70" s="108" t="str">
        <f>IF(Q70="","",IF(FacingSheet!$B$11=10,VLOOKUP(Q70,Age,2,FALSE),IF(FacingSheet!$B$11=15,VLOOKUP(Q70,Age,3,FALSE),IF(FacingSheet!$B$11=25,VLOOKUP(Q70,Age,4,FALSE),IF(FacingSheet!$B$11=30,VLOOKUP(Q70,Age,5,FALSE),IF(FacingSheet!$B$11=50,VLOOKUP(Q70,Age,6,FALSE),IF(FacingSheet!$B$11=100,VLOOKUP(Q70,Age,7,FALSE),"")))))))</f>
        <v/>
      </c>
      <c r="S70" s="108" t="str">
        <f>IF(Q70="","",IF(FacingSheet!$B$11=10,VLOOKUP(Q70,AgeF,2,FALSE),IF(FacingSheet!$B$11=15,VLOOKUP(Q70,AgeF,3,FALSE),IF(FacingSheet!$B$11=25,VLOOKUP(Q70,AgeF,4,FALSE),IF(FacingSheet!$B$11=30,VLOOKUP(Q70,AgeF,5,FALSE),IF(FacingSheet!$B$11=50,VLOOKUP(Q70,AgeF,6,FALSE),IF(FacingSheet!$B$11=100,VLOOKUP(Q70,AgeF,7,FALSE),"")))))))</f>
        <v/>
      </c>
      <c r="T70" s="108" t="str">
        <f t="shared" si="2"/>
        <v/>
      </c>
      <c r="U70" s="29"/>
      <c r="V70" s="29"/>
      <c r="W70" s="29"/>
      <c r="X70" s="132"/>
      <c r="Y70" s="132"/>
      <c r="Z70" s="132"/>
    </row>
    <row r="71" spans="1:26">
      <c r="A71" s="36">
        <v>62</v>
      </c>
      <c r="B71" s="133" t="s">
        <v>59</v>
      </c>
      <c r="C71" s="133" t="s">
        <v>60</v>
      </c>
      <c r="D71" s="1" t="str">
        <f t="shared" si="3"/>
        <v>Logan Anderson</v>
      </c>
      <c r="E71" s="29" t="s">
        <v>61</v>
      </c>
      <c r="F71" s="29" t="s">
        <v>62</v>
      </c>
      <c r="G71" s="29" t="str">
        <f>"1713042"</f>
        <v>1713042</v>
      </c>
      <c r="H71" s="193">
        <v>1.7430555555555557E-2</v>
      </c>
      <c r="I71" s="131" t="str">
        <f>"23/01/2009"</f>
        <v>23/01/2009</v>
      </c>
      <c r="J71" s="100">
        <f>IF(FacingSheet!$B$11=10,IF(ISERROR(((((H71*1440)-20)*60)-(((H71*1440)-20)^1.6)*2.5)/86400),"",((((H71*1440)-20)*60)-(((H71*1440)-20)^1.6)*2.5)/86400),"")</f>
        <v>3.1494387077510115E-3</v>
      </c>
      <c r="K71" s="100" t="str">
        <f>IF(FacingSheet!$B$11=15,IF(ISERROR(((((H71*1440)-33)*60)-(((H71*1440)-33)^1.6)*1.667)/86400),"",((((H71*1440)-33)*60)-(((H71*1440)-33)^1.6)*1.667)/86400),"")</f>
        <v/>
      </c>
      <c r="L71" s="100" t="str">
        <f>IF(FacingSheet!$B$11=25,IF(ISERROR(((((H71*1440)-50)*60)-(((H71*1440)-50)^1.6))/86400),"",((((H71*1440)-50)*60)-(((H71*1440)-50)^1.6))/86400),"")</f>
        <v/>
      </c>
      <c r="M71" s="100" t="str">
        <f>IF(FacingSheet!$B$11=30,IF(ISERROR(((((H71*1440)-60)*60)-((((H71*1440)-60)^1.6))/1.2)/86400),"",((((H71*1440)-60)*60)-((((H71*1440)-60)^1.6))/1.2)/86400),"")</f>
        <v/>
      </c>
      <c r="N71" s="100" t="str">
        <f>IF(FacingSheet!$B$11=50,IF(ISERROR(((((H71*1440)-105)*60)-((((H71*1440)-105)^1.6))/2)/86400),"",((((H71*1440)-105)*60)-((((H71*1440)-105)^1.6))/2)/86400),"")</f>
        <v/>
      </c>
      <c r="O71" s="100" t="str">
        <f>IF(FacingSheet!$B$11=100,IF(ISERROR(((((H71*1440)-230)*60)-((((H71*1440)-230)^1.6))/4)/86400),"",((((H71*1440)-230)*60)-((((H71*1440)-230)^1.6))/4)/86400),"")</f>
        <v/>
      </c>
      <c r="P71" s="108">
        <f>IF(FacingSheet!$B$11=10,J71,IF(FacingSheet!$B$11=15,K71,IF(FacingSheet!$B$11=25,L71,IF(FacingSheet!$B$11=30,M71,IF(FacingSheet!$B$11=50,N71,IF(FacingSheet!$B$11=100,O71,""))))))</f>
        <v>3.1494387077510115E-3</v>
      </c>
      <c r="Q71" s="65" t="str">
        <f>IF(OR(F71="V",F71="FV"),IF(I71="","",IF(MONTH(FacingSheet!$S$9)&gt;MONTH(I71),YEAR(FacingSheet!$S$9)-YEAR(I71),IF(AND(MONTH(FacingSheet!$S$9)=MONTH(I71),DAY(FacingSheet!$S$9)&gt;=DAY(I71)),YEAR(FacingSheet!$S$9)-YEAR(I71),(YEAR(FacingSheet!$S$9)-YEAR(I71))-1))),"")</f>
        <v/>
      </c>
      <c r="R71" s="108" t="str">
        <f>IF(Q71="","",IF(FacingSheet!$B$11=10,VLOOKUP(Q71,Age,2,FALSE),IF(FacingSheet!$B$11=15,VLOOKUP(Q71,Age,3,FALSE),IF(FacingSheet!$B$11=25,VLOOKUP(Q71,Age,4,FALSE),IF(FacingSheet!$B$11=30,VLOOKUP(Q71,Age,5,FALSE),IF(FacingSheet!$B$11=50,VLOOKUP(Q71,Age,6,FALSE),IF(FacingSheet!$B$11=100,VLOOKUP(Q71,Age,7,FALSE),"")))))))</f>
        <v/>
      </c>
      <c r="S71" s="108" t="str">
        <f>IF(Q71="","",IF(FacingSheet!$B$11=10,VLOOKUP(Q71,AgeF,2,FALSE),IF(FacingSheet!$B$11=15,VLOOKUP(Q71,AgeF,3,FALSE),IF(FacingSheet!$B$11=25,VLOOKUP(Q71,AgeF,4,FALSE),IF(FacingSheet!$B$11=30,VLOOKUP(Q71,AgeF,5,FALSE),IF(FacingSheet!$B$11=50,VLOOKUP(Q71,AgeF,6,FALSE),IF(FacingSheet!$B$11=100,VLOOKUP(Q71,AgeF,7,FALSE),"")))))))</f>
        <v/>
      </c>
      <c r="T71" s="108" t="str">
        <f t="shared" si="2"/>
        <v/>
      </c>
      <c r="U71" s="29"/>
      <c r="V71" s="29"/>
      <c r="W71" s="29"/>
      <c r="X71" s="132"/>
      <c r="Y71" s="132"/>
      <c r="Z71" s="132"/>
    </row>
    <row r="72" spans="1:26">
      <c r="A72" s="36">
        <v>3</v>
      </c>
      <c r="B72" s="133" t="s">
        <v>63</v>
      </c>
      <c r="C72" s="133" t="str">
        <f>"Horsburgh"</f>
        <v>Horsburgh</v>
      </c>
      <c r="D72" s="1" t="str">
        <f t="shared" si="3"/>
        <v>Alan Horsburgh</v>
      </c>
      <c r="E72" s="29" t="str">
        <f>"Inverness Cycle Club"</f>
        <v>Inverness Cycle Club</v>
      </c>
      <c r="F72" s="29" t="s">
        <v>57</v>
      </c>
      <c r="G72" s="29" t="str">
        <f>"955248"</f>
        <v>955248</v>
      </c>
      <c r="H72" s="193">
        <v>1.7708333333333333E-2</v>
      </c>
      <c r="I72" s="131" t="str">
        <f>"19/03/1976"</f>
        <v>19/03/1976</v>
      </c>
      <c r="J72" s="100">
        <f>IF(FacingSheet!$B$11=10,IF(ISERROR(((((H72*1440)-20)*60)-(((H72*1440)-20)^1.6)*2.5)/86400),"",((((H72*1440)-20)*60)-(((H72*1440)-20)^1.6)*2.5)/86400),"")</f>
        <v>3.3768493771891704E-3</v>
      </c>
      <c r="K72" s="100" t="str">
        <f>IF(FacingSheet!$B$11=15,IF(ISERROR(((((H72*1440)-33)*60)-(((H72*1440)-33)^1.6)*1.667)/86400),"",((((H72*1440)-33)*60)-(((H72*1440)-33)^1.6)*1.667)/86400),"")</f>
        <v/>
      </c>
      <c r="L72" s="100" t="str">
        <f>IF(FacingSheet!$B$11=25,IF(ISERROR(((((H72*1440)-50)*60)-(((H72*1440)-50)^1.6))/86400),"",((((H72*1440)-50)*60)-(((H72*1440)-50)^1.6))/86400),"")</f>
        <v/>
      </c>
      <c r="M72" s="100" t="str">
        <f>IF(FacingSheet!$B$11=30,IF(ISERROR(((((H72*1440)-60)*60)-((((H72*1440)-60)^1.6))/1.2)/86400),"",((((H72*1440)-60)*60)-((((H72*1440)-60)^1.6))/1.2)/86400),"")</f>
        <v/>
      </c>
      <c r="N72" s="100" t="str">
        <f>IF(FacingSheet!$B$11=50,IF(ISERROR(((((H72*1440)-105)*60)-((((H72*1440)-105)^1.6))/2)/86400),"",((((H72*1440)-105)*60)-((((H72*1440)-105)^1.6))/2)/86400),"")</f>
        <v/>
      </c>
      <c r="O72" s="100" t="str">
        <f>IF(FacingSheet!$B$11=100,IF(ISERROR(((((H72*1440)-230)*60)-((((H72*1440)-230)^1.6))/4)/86400),"",((((H72*1440)-230)*60)-((((H72*1440)-230)^1.6))/4)/86400),"")</f>
        <v/>
      </c>
      <c r="P72" s="108">
        <f>IF(FacingSheet!$B$11=10,J72,IF(FacingSheet!$B$11=15,K72,IF(FacingSheet!$B$11=25,L72,IF(FacingSheet!$B$11=30,M72,IF(FacingSheet!$B$11=50,N72,IF(FacingSheet!$B$11=100,O72,""))))))</f>
        <v>3.3768493771891704E-3</v>
      </c>
      <c r="Q72" s="65">
        <f>IF(OR(F72="V",F72="FV"),IF(I72="","",IF(MONTH(FacingSheet!$S$9)&gt;MONTH(I72),YEAR(FacingSheet!$S$9)-YEAR(I72),IF(AND(MONTH(FacingSheet!$S$9)=MONTH(I72),DAY(FacingSheet!$S$9)&gt;=DAY(I72)),YEAR(FacingSheet!$S$9)-YEAR(I72),(YEAR(FacingSheet!$S$9)-YEAR(I72))-1))),"")</f>
        <v>49</v>
      </c>
      <c r="R72" s="108">
        <f>IF(Q72="","",IF(FacingSheet!$B$11=10,VLOOKUP(Q72,Age,2,FALSE),IF(FacingSheet!$B$11=15,VLOOKUP(Q72,Age,3,FALSE),IF(FacingSheet!$B$11=25,VLOOKUP(Q72,Age,4,FALSE),IF(FacingSheet!$B$11=30,VLOOKUP(Q72,Age,5,FALSE),IF(FacingSheet!$B$11=50,VLOOKUP(Q72,Age,6,FALSE),IF(FacingSheet!$B$11=100,VLOOKUP(Q72,Age,7,FALSE),"")))))))</f>
        <v>1.8576388888888889E-2</v>
      </c>
      <c r="S72" s="108">
        <f>IF(Q72="","",IF(FacingSheet!$B$11=10,VLOOKUP(Q72,AgeF,2,FALSE),IF(FacingSheet!$B$11=15,VLOOKUP(Q72,AgeF,3,FALSE),IF(FacingSheet!$B$11=25,VLOOKUP(Q72,AgeF,4,FALSE),IF(FacingSheet!$B$11=30,VLOOKUP(Q72,AgeF,5,FALSE),IF(FacingSheet!$B$11=50,VLOOKUP(Q72,AgeF,6,FALSE),IF(FacingSheet!$B$11=100,VLOOKUP(Q72,AgeF,7,FALSE),"")))))))</f>
        <v>2.0150462962962964E-2</v>
      </c>
      <c r="T72" s="108">
        <f t="shared" si="2"/>
        <v>1.8576388888888889E-2</v>
      </c>
      <c r="U72" s="29"/>
      <c r="V72" s="29"/>
      <c r="W72" s="29"/>
      <c r="X72" s="132"/>
      <c r="Y72" s="132"/>
      <c r="Z72" s="132"/>
    </row>
    <row r="73" spans="1:26">
      <c r="A73" s="36">
        <v>4</v>
      </c>
      <c r="B73" s="133" t="str">
        <f>"Matthew"</f>
        <v>Matthew</v>
      </c>
      <c r="C73" s="133" t="str">
        <f>"Jones"</f>
        <v>Jones</v>
      </c>
      <c r="D73" s="1" t="str">
        <f t="shared" si="3"/>
        <v>Matthew Jones</v>
      </c>
      <c r="E73" s="29" t="str">
        <f>"Ross-Shire RCC"</f>
        <v>Ross-Shire RCC</v>
      </c>
      <c r="F73" s="29" t="s">
        <v>57</v>
      </c>
      <c r="G73" s="29" t="str">
        <f>"1856912"</f>
        <v>1856912</v>
      </c>
      <c r="H73" s="193">
        <v>1.9444444444444445E-2</v>
      </c>
      <c r="I73" s="131" t="str">
        <f>"13/02/1966"</f>
        <v>13/02/1966</v>
      </c>
      <c r="J73" s="100">
        <f>IF(FacingSheet!$B$11=10,IF(ISERROR(((((H73*1440)-20)*60)-(((H73*1440)-20)^1.6)*2.5)/86400),"",((((H73*1440)-20)*60)-(((H73*1440)-20)^1.6)*2.5)/86400),"")</f>
        <v>4.7494902191702552E-3</v>
      </c>
      <c r="K73" s="100" t="str">
        <f>IF(FacingSheet!$B$11=15,IF(ISERROR(((((H73*1440)-33)*60)-(((H73*1440)-33)^1.6)*1.667)/86400),"",((((H73*1440)-33)*60)-(((H73*1440)-33)^1.6)*1.667)/86400),"")</f>
        <v/>
      </c>
      <c r="L73" s="100" t="str">
        <f>IF(FacingSheet!$B$11=25,IF(ISERROR(((((H73*1440)-50)*60)-(((H73*1440)-50)^1.6))/86400),"",((((H73*1440)-50)*60)-(((H73*1440)-50)^1.6))/86400),"")</f>
        <v/>
      </c>
      <c r="M73" s="100" t="str">
        <f>IF(FacingSheet!$B$11=30,IF(ISERROR(((((H73*1440)-60)*60)-((((H73*1440)-60)^1.6))/1.2)/86400),"",((((H73*1440)-60)*60)-((((H73*1440)-60)^1.6))/1.2)/86400),"")</f>
        <v/>
      </c>
      <c r="N73" s="100" t="str">
        <f>IF(FacingSheet!$B$11=50,IF(ISERROR(((((H73*1440)-105)*60)-((((H73*1440)-105)^1.6))/2)/86400),"",((((H73*1440)-105)*60)-((((H73*1440)-105)^1.6))/2)/86400),"")</f>
        <v/>
      </c>
      <c r="O73" s="100" t="str">
        <f>IF(FacingSheet!$B$11=100,IF(ISERROR(((((H73*1440)-230)*60)-((((H73*1440)-230)^1.6))/4)/86400),"",((((H73*1440)-230)*60)-((((H73*1440)-230)^1.6))/4)/86400),"")</f>
        <v/>
      </c>
      <c r="P73" s="108">
        <f>IF(FacingSheet!$B$11=10,J73,IF(FacingSheet!$B$11=15,K73,IF(FacingSheet!$B$11=25,L73,IF(FacingSheet!$B$11=30,M73,IF(FacingSheet!$B$11=50,N73,IF(FacingSheet!$B$11=100,O73,""))))))</f>
        <v>4.7494902191702552E-3</v>
      </c>
      <c r="Q73" s="65">
        <f>IF(OR(F73="V",F73="FV"),IF(I73="","",IF(MONTH(FacingSheet!$S$9)&gt;MONTH(I73),YEAR(FacingSheet!$S$9)-YEAR(I73),IF(AND(MONTH(FacingSheet!$S$9)=MONTH(I73),DAY(FacingSheet!$S$9)&gt;=DAY(I73)),YEAR(FacingSheet!$S$9)-YEAR(I73),(YEAR(FacingSheet!$S$9)-YEAR(I73))-1))),"")</f>
        <v>59</v>
      </c>
      <c r="R73" s="108">
        <f>IF(Q73="","",IF(FacingSheet!$B$11=10,VLOOKUP(Q73,Age,2,FALSE),IF(FacingSheet!$B$11=15,VLOOKUP(Q73,Age,3,FALSE),IF(FacingSheet!$B$11=25,VLOOKUP(Q73,Age,4,FALSE),IF(FacingSheet!$B$11=30,VLOOKUP(Q73,Age,5,FALSE),IF(FacingSheet!$B$11=50,VLOOKUP(Q73,Age,6,FALSE),IF(FacingSheet!$B$11=100,VLOOKUP(Q73,Age,7,FALSE),"")))))))</f>
        <v>1.9131944444444444E-2</v>
      </c>
      <c r="S73" s="108">
        <f>IF(Q73="","",IF(FacingSheet!$B$11=10,VLOOKUP(Q73,AgeF,2,FALSE),IF(FacingSheet!$B$11=15,VLOOKUP(Q73,AgeF,3,FALSE),IF(FacingSheet!$B$11=25,VLOOKUP(Q73,AgeF,4,FALSE),IF(FacingSheet!$B$11=30,VLOOKUP(Q73,AgeF,5,FALSE),IF(FacingSheet!$B$11=50,VLOOKUP(Q73,AgeF,6,FALSE),IF(FacingSheet!$B$11=100,VLOOKUP(Q73,AgeF,7,FALSE),"")))))))</f>
        <v>2.0775462962962964E-2</v>
      </c>
      <c r="T73" s="108">
        <f t="shared" si="2"/>
        <v>1.9131944444444444E-2</v>
      </c>
      <c r="U73" s="29"/>
      <c r="V73" s="29"/>
      <c r="W73" s="29"/>
      <c r="X73" s="132"/>
      <c r="Y73" s="132"/>
      <c r="Z73" s="132"/>
    </row>
    <row r="74" spans="1:26">
      <c r="A74" s="36">
        <v>5</v>
      </c>
      <c r="B74" s="133" t="str">
        <f>"Daniel"</f>
        <v>Daniel</v>
      </c>
      <c r="C74" s="133" t="str">
        <f>"Sutherland"</f>
        <v>Sutherland</v>
      </c>
      <c r="D74" s="1" t="str">
        <f t="shared" si="3"/>
        <v>Daniel Sutherland</v>
      </c>
      <c r="E74" s="29" t="str">
        <f>"Moray Firth Cycling Club"</f>
        <v>Moray Firth Cycling Club</v>
      </c>
      <c r="F74" s="29" t="s">
        <v>57</v>
      </c>
      <c r="G74" s="29" t="str">
        <f>"1423884"</f>
        <v>1423884</v>
      </c>
      <c r="H74" s="193">
        <v>1.6041666666666666E-2</v>
      </c>
      <c r="I74" s="131" t="str">
        <f>"18/09/1980"</f>
        <v>18/09/1980</v>
      </c>
      <c r="J74" s="100">
        <f>IF(FacingSheet!$B$11=10,IF(ISERROR(((((H74*1440)-20)*60)-(((H74*1440)-20)^1.6)*2.5)/86400),"",((((H74*1440)-20)*60)-(((H74*1440)-20)^1.6)*2.5)/86400),"")</f>
        <v>1.9759278135402822E-3</v>
      </c>
      <c r="K74" s="100" t="str">
        <f>IF(FacingSheet!$B$11=15,IF(ISERROR(((((H74*1440)-33)*60)-(((H74*1440)-33)^1.6)*1.667)/86400),"",((((H74*1440)-33)*60)-(((H74*1440)-33)^1.6)*1.667)/86400),"")</f>
        <v/>
      </c>
      <c r="L74" s="100" t="str">
        <f>IF(FacingSheet!$B$11=25,IF(ISERROR(((((H74*1440)-50)*60)-(((H74*1440)-50)^1.6))/86400),"",((((H74*1440)-50)*60)-(((H74*1440)-50)^1.6))/86400),"")</f>
        <v/>
      </c>
      <c r="M74" s="100" t="str">
        <f>IF(FacingSheet!$B$11=30,IF(ISERROR(((((H74*1440)-60)*60)-((((H74*1440)-60)^1.6))/1.2)/86400),"",((((H74*1440)-60)*60)-((((H74*1440)-60)^1.6))/1.2)/86400),"")</f>
        <v/>
      </c>
      <c r="N74" s="100" t="str">
        <f>IF(FacingSheet!$B$11=50,IF(ISERROR(((((H74*1440)-105)*60)-((((H74*1440)-105)^1.6))/2)/86400),"",((((H74*1440)-105)*60)-((((H74*1440)-105)^1.6))/2)/86400),"")</f>
        <v/>
      </c>
      <c r="O74" s="100" t="str">
        <f>IF(FacingSheet!$B$11=100,IF(ISERROR(((((H74*1440)-230)*60)-((((H74*1440)-230)^1.6))/4)/86400),"",((((H74*1440)-230)*60)-((((H74*1440)-230)^1.6))/4)/86400),"")</f>
        <v/>
      </c>
      <c r="P74" s="108">
        <f>IF(FacingSheet!$B$11=10,J74,IF(FacingSheet!$B$11=15,K74,IF(FacingSheet!$B$11=25,L74,IF(FacingSheet!$B$11=30,M74,IF(FacingSheet!$B$11=50,N74,IF(FacingSheet!$B$11=100,O74,""))))))</f>
        <v>1.9759278135402822E-3</v>
      </c>
      <c r="Q74" s="65">
        <f>IF(OR(F74="V",F74="FV"),IF(I74="","",IF(MONTH(FacingSheet!$S$9)&gt;MONTH(I74),YEAR(FacingSheet!$S$9)-YEAR(I74),IF(AND(MONTH(FacingSheet!$S$9)=MONTH(I74),DAY(FacingSheet!$S$9)&gt;=DAY(I74)),YEAR(FacingSheet!$S$9)-YEAR(I74),(YEAR(FacingSheet!$S$9)-YEAR(I74))-1))),"")</f>
        <v>44</v>
      </c>
      <c r="R74" s="108">
        <f>IF(Q74="","",IF(FacingSheet!$B$11=10,VLOOKUP(Q74,Age,2,FALSE),IF(FacingSheet!$B$11=15,VLOOKUP(Q74,Age,3,FALSE),IF(FacingSheet!$B$11=25,VLOOKUP(Q74,Age,4,FALSE),IF(FacingSheet!$B$11=30,VLOOKUP(Q74,Age,5,FALSE),IF(FacingSheet!$B$11=50,VLOOKUP(Q74,Age,6,FALSE),IF(FacingSheet!$B$11=100,VLOOKUP(Q74,Age,7,FALSE),"")))))))</f>
        <v>1.8310185185185186E-2</v>
      </c>
      <c r="S74" s="108">
        <f>IF(Q74="","",IF(FacingSheet!$B$11=10,VLOOKUP(Q74,AgeF,2,FALSE),IF(FacingSheet!$B$11=15,VLOOKUP(Q74,AgeF,3,FALSE),IF(FacingSheet!$B$11=25,VLOOKUP(Q74,AgeF,4,FALSE),IF(FacingSheet!$B$11=30,VLOOKUP(Q74,AgeF,5,FALSE),IF(FacingSheet!$B$11=50,VLOOKUP(Q74,AgeF,6,FALSE),IF(FacingSheet!$B$11=100,VLOOKUP(Q74,AgeF,7,FALSE),"")))))))</f>
        <v>1.9861111111111111E-2</v>
      </c>
      <c r="T74" s="108">
        <f t="shared" si="2"/>
        <v>1.8310185185185186E-2</v>
      </c>
      <c r="U74" s="29"/>
      <c r="V74" s="29"/>
      <c r="W74" s="29"/>
      <c r="X74" s="132"/>
      <c r="Y74" s="132"/>
      <c r="Z74" s="132"/>
    </row>
    <row r="75" spans="1:26">
      <c r="A75" s="36"/>
      <c r="B75" s="133"/>
      <c r="C75" s="133"/>
      <c r="D75" s="1" t="str">
        <f t="shared" si="3"/>
        <v xml:space="preserve"> </v>
      </c>
      <c r="E75" s="29"/>
      <c r="F75" s="29"/>
      <c r="G75" s="29"/>
      <c r="H75" s="193"/>
      <c r="I75" s="131"/>
      <c r="J75" s="100" t="str">
        <f>IF(FacingSheet!$B$11=10,IF(ISERROR(((((H75*1440)-20)*60)-(((H75*1440)-20)^1.6)*2.5)/86400),"",((((H75*1440)-20)*60)-(((H75*1440)-20)^1.6)*2.5)/86400),"")</f>
        <v/>
      </c>
      <c r="K75" s="100" t="str">
        <f>IF(FacingSheet!$B$11=15,IF(ISERROR(((((H75*1440)-33)*60)-(((H75*1440)-33)^1.6)*1.667)/86400),"",((((H75*1440)-33)*60)-(((H75*1440)-33)^1.6)*1.667)/86400),"")</f>
        <v/>
      </c>
      <c r="L75" s="100" t="str">
        <f>IF(FacingSheet!$B$11=25,IF(ISERROR(((((H75*1440)-50)*60)-(((H75*1440)-50)^1.6))/86400),"",((((H75*1440)-50)*60)-(((H75*1440)-50)^1.6))/86400),"")</f>
        <v/>
      </c>
      <c r="M75" s="100" t="str">
        <f>IF(FacingSheet!$B$11=30,IF(ISERROR(((((H75*1440)-60)*60)-((((H75*1440)-60)^1.6))/1.2)/86400),"",((((H75*1440)-60)*60)-((((H75*1440)-60)^1.6))/1.2)/86400),"")</f>
        <v/>
      </c>
      <c r="N75" s="100" t="str">
        <f>IF(FacingSheet!$B$11=50,IF(ISERROR(((((H75*1440)-105)*60)-((((H75*1440)-105)^1.6))/2)/86400),"",((((H75*1440)-105)*60)-((((H75*1440)-105)^1.6))/2)/86400),"")</f>
        <v/>
      </c>
      <c r="O75" s="100" t="str">
        <f>IF(FacingSheet!$B$11=100,IF(ISERROR(((((H75*1440)-230)*60)-((((H75*1440)-230)^1.6))/4)/86400),"",((((H75*1440)-230)*60)-((((H75*1440)-230)^1.6))/4)/86400),"")</f>
        <v/>
      </c>
      <c r="P75" s="108" t="str">
        <f>IF(FacingSheet!$B$11=10,J75,IF(FacingSheet!$B$11=15,K75,IF(FacingSheet!$B$11=25,L75,IF(FacingSheet!$B$11=30,M75,IF(FacingSheet!$B$11=50,N75,IF(FacingSheet!$B$11=100,O75,""))))))</f>
        <v/>
      </c>
      <c r="Q75" s="65" t="str">
        <f>IF(OR(F75="V",F75="FV"),IF(I75="","",IF(MONTH(FacingSheet!$S$9)&gt;MONTH(I75),YEAR(FacingSheet!$S$9)-YEAR(I75),IF(AND(MONTH(FacingSheet!$S$9)=MONTH(I75),DAY(FacingSheet!$S$9)&gt;=DAY(I75)),YEAR(FacingSheet!$S$9)-YEAR(I75),(YEAR(FacingSheet!$S$9)-YEAR(I75))-1))),"")</f>
        <v/>
      </c>
      <c r="R75" s="108" t="str">
        <f>IF(Q75="","",IF(FacingSheet!$B$11=10,VLOOKUP(Q75,Age,2,FALSE),IF(FacingSheet!$B$11=15,VLOOKUP(Q75,Age,3,FALSE),IF(FacingSheet!$B$11=25,VLOOKUP(Q75,Age,4,FALSE),IF(FacingSheet!$B$11=30,VLOOKUP(Q75,Age,5,FALSE),IF(FacingSheet!$B$11=50,VLOOKUP(Q75,Age,6,FALSE),IF(FacingSheet!$B$11=100,VLOOKUP(Q75,Age,7,FALSE),"")))))))</f>
        <v/>
      </c>
      <c r="S75" s="108" t="str">
        <f>IF(Q75="","",IF(FacingSheet!$B$11=10,VLOOKUP(Q75,AgeF,2,FALSE),IF(FacingSheet!$B$11=15,VLOOKUP(Q75,AgeF,3,FALSE),IF(FacingSheet!$B$11=25,VLOOKUP(Q75,AgeF,4,FALSE),IF(FacingSheet!$B$11=30,VLOOKUP(Q75,AgeF,5,FALSE),IF(FacingSheet!$B$11=50,VLOOKUP(Q75,AgeF,6,FALSE),IF(FacingSheet!$B$11=100,VLOOKUP(Q75,AgeF,7,FALSE),"")))))))</f>
        <v/>
      </c>
      <c r="T75" s="108" t="str">
        <f t="shared" si="2"/>
        <v/>
      </c>
      <c r="U75" s="29"/>
      <c r="V75" s="29"/>
      <c r="W75" s="29"/>
      <c r="X75" s="132"/>
      <c r="Y75" s="132"/>
      <c r="Z75" s="132"/>
    </row>
    <row r="76" spans="1:26">
      <c r="A76" s="36"/>
      <c r="B76" s="133"/>
      <c r="C76" s="133"/>
      <c r="D76" s="1" t="str">
        <f t="shared" si="3"/>
        <v xml:space="preserve"> </v>
      </c>
      <c r="E76" s="29"/>
      <c r="F76" s="29"/>
      <c r="G76" s="29"/>
      <c r="H76" s="193"/>
      <c r="I76" s="131"/>
      <c r="J76" s="100" t="str">
        <f>IF(FacingSheet!$B$11=10,IF(ISERROR(((((H76*1440)-20)*60)-(((H76*1440)-20)^1.6)*2.5)/86400),"",((((H76*1440)-20)*60)-(((H76*1440)-20)^1.6)*2.5)/86400),"")</f>
        <v/>
      </c>
      <c r="K76" s="100" t="str">
        <f>IF(FacingSheet!$B$11=15,IF(ISERROR(((((H76*1440)-33)*60)-(((H76*1440)-33)^1.6)*1.667)/86400),"",((((H76*1440)-33)*60)-(((H76*1440)-33)^1.6)*1.667)/86400),"")</f>
        <v/>
      </c>
      <c r="L76" s="100" t="str">
        <f>IF(FacingSheet!$B$11=25,IF(ISERROR(((((H76*1440)-50)*60)-(((H76*1440)-50)^1.6))/86400),"",((((H76*1440)-50)*60)-(((H76*1440)-50)^1.6))/86400),"")</f>
        <v/>
      </c>
      <c r="M76" s="100" t="str">
        <f>IF(FacingSheet!$B$11=30,IF(ISERROR(((((H76*1440)-60)*60)-((((H76*1440)-60)^1.6))/1.2)/86400),"",((((H76*1440)-60)*60)-((((H76*1440)-60)^1.6))/1.2)/86400),"")</f>
        <v/>
      </c>
      <c r="N76" s="100" t="str">
        <f>IF(FacingSheet!$B$11=50,IF(ISERROR(((((H76*1440)-105)*60)-((((H76*1440)-105)^1.6))/2)/86400),"",((((H76*1440)-105)*60)-((((H76*1440)-105)^1.6))/2)/86400),"")</f>
        <v/>
      </c>
      <c r="O76" s="100" t="str">
        <f>IF(FacingSheet!$B$11=100,IF(ISERROR(((((H76*1440)-230)*60)-((((H76*1440)-230)^1.6))/4)/86400),"",((((H76*1440)-230)*60)-((((H76*1440)-230)^1.6))/4)/86400),"")</f>
        <v/>
      </c>
      <c r="P76" s="108" t="str">
        <f>IF(FacingSheet!$B$11=10,J76,IF(FacingSheet!$B$11=15,K76,IF(FacingSheet!$B$11=25,L76,IF(FacingSheet!$B$11=30,M76,IF(FacingSheet!$B$11=50,N76,IF(FacingSheet!$B$11=100,O76,""))))))</f>
        <v/>
      </c>
      <c r="Q76" s="65" t="str">
        <f>IF(OR(F76="V",F76="FV"),IF(I76="","",IF(MONTH(FacingSheet!$S$9)&gt;MONTH(I76),YEAR(FacingSheet!$S$9)-YEAR(I76),IF(AND(MONTH(FacingSheet!$S$9)=MONTH(I76),DAY(FacingSheet!$S$9)&gt;=DAY(I76)),YEAR(FacingSheet!$S$9)-YEAR(I76),(YEAR(FacingSheet!$S$9)-YEAR(I76))-1))),"")</f>
        <v/>
      </c>
      <c r="R76" s="108" t="str">
        <f>IF(Q76="","",IF(FacingSheet!$B$11=10,VLOOKUP(Q76,Age,2,FALSE),IF(FacingSheet!$B$11=15,VLOOKUP(Q76,Age,3,FALSE),IF(FacingSheet!$B$11=25,VLOOKUP(Q76,Age,4,FALSE),IF(FacingSheet!$B$11=30,VLOOKUP(Q76,Age,5,FALSE),IF(FacingSheet!$B$11=50,VLOOKUP(Q76,Age,6,FALSE),IF(FacingSheet!$B$11=100,VLOOKUP(Q76,Age,7,FALSE),"")))))))</f>
        <v/>
      </c>
      <c r="S76" s="108" t="str">
        <f>IF(Q76="","",IF(FacingSheet!$B$11=10,VLOOKUP(Q76,AgeF,2,FALSE),IF(FacingSheet!$B$11=15,VLOOKUP(Q76,AgeF,3,FALSE),IF(FacingSheet!$B$11=25,VLOOKUP(Q76,AgeF,4,FALSE),IF(FacingSheet!$B$11=30,VLOOKUP(Q76,AgeF,5,FALSE),IF(FacingSheet!$B$11=50,VLOOKUP(Q76,AgeF,6,FALSE),IF(FacingSheet!$B$11=100,VLOOKUP(Q76,AgeF,7,FALSE),"")))))))</f>
        <v/>
      </c>
      <c r="T76" s="108" t="str">
        <f t="shared" si="2"/>
        <v/>
      </c>
      <c r="U76" s="29"/>
      <c r="V76" s="29"/>
      <c r="W76" s="29"/>
      <c r="X76" s="132"/>
      <c r="Y76" s="132"/>
      <c r="Z76" s="132"/>
    </row>
    <row r="77" spans="1:26">
      <c r="A77" s="36"/>
      <c r="B77" s="133"/>
      <c r="C77" s="133"/>
      <c r="D77" s="1" t="str">
        <f t="shared" si="3"/>
        <v xml:space="preserve"> </v>
      </c>
      <c r="E77" s="29"/>
      <c r="F77" s="29"/>
      <c r="G77" s="29"/>
      <c r="H77" s="193"/>
      <c r="I77" s="131"/>
      <c r="J77" s="100" t="str">
        <f>IF(FacingSheet!$B$11=10,IF(ISERROR(((((H77*1440)-20)*60)-(((H77*1440)-20)^1.6)*2.5)/86400),"",((((H77*1440)-20)*60)-(((H77*1440)-20)^1.6)*2.5)/86400),"")</f>
        <v/>
      </c>
      <c r="K77" s="100" t="str">
        <f>IF(FacingSheet!$B$11=15,IF(ISERROR(((((H77*1440)-33)*60)-(((H77*1440)-33)^1.6)*1.667)/86400),"",((((H77*1440)-33)*60)-(((H77*1440)-33)^1.6)*1.667)/86400),"")</f>
        <v/>
      </c>
      <c r="L77" s="100" t="str">
        <f>IF(FacingSheet!$B$11=25,IF(ISERROR(((((H77*1440)-50)*60)-(((H77*1440)-50)^1.6))/86400),"",((((H77*1440)-50)*60)-(((H77*1440)-50)^1.6))/86400),"")</f>
        <v/>
      </c>
      <c r="M77" s="100" t="str">
        <f>IF(FacingSheet!$B$11=30,IF(ISERROR(((((H77*1440)-60)*60)-((((H77*1440)-60)^1.6))/1.2)/86400),"",((((H77*1440)-60)*60)-((((H77*1440)-60)^1.6))/1.2)/86400),"")</f>
        <v/>
      </c>
      <c r="N77" s="100" t="str">
        <f>IF(FacingSheet!$B$11=50,IF(ISERROR(((((H77*1440)-105)*60)-((((H77*1440)-105)^1.6))/2)/86400),"",((((H77*1440)-105)*60)-((((H77*1440)-105)^1.6))/2)/86400),"")</f>
        <v/>
      </c>
      <c r="O77" s="100" t="str">
        <f>IF(FacingSheet!$B$11=100,IF(ISERROR(((((H77*1440)-230)*60)-((((H77*1440)-230)^1.6))/4)/86400),"",((((H77*1440)-230)*60)-((((H77*1440)-230)^1.6))/4)/86400),"")</f>
        <v/>
      </c>
      <c r="P77" s="108" t="str">
        <f>IF(FacingSheet!$B$11=10,J77,IF(FacingSheet!$B$11=15,K77,IF(FacingSheet!$B$11=25,L77,IF(FacingSheet!$B$11=30,M77,IF(FacingSheet!$B$11=50,N77,IF(FacingSheet!$B$11=100,O77,""))))))</f>
        <v/>
      </c>
      <c r="Q77" s="65" t="str">
        <f>IF(OR(F77="V",F77="FV"),IF(I77="","",IF(MONTH(FacingSheet!$S$9)&gt;MONTH(I77),YEAR(FacingSheet!$S$9)-YEAR(I77),IF(AND(MONTH(FacingSheet!$S$9)=MONTH(I77),DAY(FacingSheet!$S$9)&gt;=DAY(I77)),YEAR(FacingSheet!$S$9)-YEAR(I77),(YEAR(FacingSheet!$S$9)-YEAR(I77))-1))),"")</f>
        <v/>
      </c>
      <c r="R77" s="108" t="str">
        <f>IF(Q77="","",IF(FacingSheet!$B$11=10,VLOOKUP(Q77,Age,2,FALSE),IF(FacingSheet!$B$11=15,VLOOKUP(Q77,Age,3,FALSE),IF(FacingSheet!$B$11=25,VLOOKUP(Q77,Age,4,FALSE),IF(FacingSheet!$B$11=30,VLOOKUP(Q77,Age,5,FALSE),IF(FacingSheet!$B$11=50,VLOOKUP(Q77,Age,6,FALSE),IF(FacingSheet!$B$11=100,VLOOKUP(Q77,Age,7,FALSE),"")))))))</f>
        <v/>
      </c>
      <c r="S77" s="108" t="str">
        <f>IF(Q77="","",IF(FacingSheet!$B$11=10,VLOOKUP(Q77,AgeF,2,FALSE),IF(FacingSheet!$B$11=15,VLOOKUP(Q77,AgeF,3,FALSE),IF(FacingSheet!$B$11=25,VLOOKUP(Q77,AgeF,4,FALSE),IF(FacingSheet!$B$11=30,VLOOKUP(Q77,AgeF,5,FALSE),IF(FacingSheet!$B$11=50,VLOOKUP(Q77,AgeF,6,FALSE),IF(FacingSheet!$B$11=100,VLOOKUP(Q77,AgeF,7,FALSE),"")))))))</f>
        <v/>
      </c>
      <c r="T77" s="108" t="str">
        <f t="shared" si="2"/>
        <v/>
      </c>
      <c r="U77" s="29"/>
      <c r="V77" s="29"/>
      <c r="W77" s="29"/>
      <c r="X77" s="132"/>
      <c r="Y77" s="132"/>
      <c r="Z77" s="132"/>
    </row>
    <row r="78" spans="1:26">
      <c r="A78" s="36"/>
      <c r="B78" s="133"/>
      <c r="C78" s="133"/>
      <c r="D78" s="1" t="str">
        <f t="shared" si="3"/>
        <v xml:space="preserve"> </v>
      </c>
      <c r="E78" s="29"/>
      <c r="F78" s="29"/>
      <c r="G78" s="29"/>
      <c r="H78" s="193"/>
      <c r="I78" s="131"/>
      <c r="J78" s="100" t="str">
        <f>IF(FacingSheet!$B$11=10,IF(ISERROR(((((H78*1440)-20)*60)-(((H78*1440)-20)^1.6)*2.5)/86400),"",((((H78*1440)-20)*60)-(((H78*1440)-20)^1.6)*2.5)/86400),"")</f>
        <v/>
      </c>
      <c r="K78" s="100" t="str">
        <f>IF(FacingSheet!$B$11=15,IF(ISERROR(((((H78*1440)-33)*60)-(((H78*1440)-33)^1.6)*1.667)/86400),"",((((H78*1440)-33)*60)-(((H78*1440)-33)^1.6)*1.667)/86400),"")</f>
        <v/>
      </c>
      <c r="L78" s="100" t="str">
        <f>IF(FacingSheet!$B$11=25,IF(ISERROR(((((H78*1440)-50)*60)-(((H78*1440)-50)^1.6))/86400),"",((((H78*1440)-50)*60)-(((H78*1440)-50)^1.6))/86400),"")</f>
        <v/>
      </c>
      <c r="M78" s="100" t="str">
        <f>IF(FacingSheet!$B$11=30,IF(ISERROR(((((H78*1440)-60)*60)-((((H78*1440)-60)^1.6))/1.2)/86400),"",((((H78*1440)-60)*60)-((((H78*1440)-60)^1.6))/1.2)/86400),"")</f>
        <v/>
      </c>
      <c r="N78" s="100" t="str">
        <f>IF(FacingSheet!$B$11=50,IF(ISERROR(((((H78*1440)-105)*60)-((((H78*1440)-105)^1.6))/2)/86400),"",((((H78*1440)-105)*60)-((((H78*1440)-105)^1.6))/2)/86400),"")</f>
        <v/>
      </c>
      <c r="O78" s="100" t="str">
        <f>IF(FacingSheet!$B$11=100,IF(ISERROR(((((H78*1440)-230)*60)-((((H78*1440)-230)^1.6))/4)/86400),"",((((H78*1440)-230)*60)-((((H78*1440)-230)^1.6))/4)/86400),"")</f>
        <v/>
      </c>
      <c r="P78" s="108" t="str">
        <f>IF(FacingSheet!$B$11=10,J78,IF(FacingSheet!$B$11=15,K78,IF(FacingSheet!$B$11=25,L78,IF(FacingSheet!$B$11=30,M78,IF(FacingSheet!$B$11=50,N78,IF(FacingSheet!$B$11=100,O78,""))))))</f>
        <v/>
      </c>
      <c r="Q78" s="65" t="str">
        <f>IF(OR(F78="V",F78="FV"),IF(I78="","",IF(MONTH(FacingSheet!$S$9)&gt;MONTH(I78),YEAR(FacingSheet!$S$9)-YEAR(I78),IF(AND(MONTH(FacingSheet!$S$9)=MONTH(I78),DAY(FacingSheet!$S$9)&gt;=DAY(I78)),YEAR(FacingSheet!$S$9)-YEAR(I78),(YEAR(FacingSheet!$S$9)-YEAR(I78))-1))),"")</f>
        <v/>
      </c>
      <c r="R78" s="108" t="str">
        <f>IF(Q78="","",IF(FacingSheet!$B$11=10,VLOOKUP(Q78,Age,2,FALSE),IF(FacingSheet!$B$11=15,VLOOKUP(Q78,Age,3,FALSE),IF(FacingSheet!$B$11=25,VLOOKUP(Q78,Age,4,FALSE),IF(FacingSheet!$B$11=30,VLOOKUP(Q78,Age,5,FALSE),IF(FacingSheet!$B$11=50,VLOOKUP(Q78,Age,6,FALSE),IF(FacingSheet!$B$11=100,VLOOKUP(Q78,Age,7,FALSE),"")))))))</f>
        <v/>
      </c>
      <c r="S78" s="108" t="str">
        <f>IF(Q78="","",IF(FacingSheet!$B$11=10,VLOOKUP(Q78,AgeF,2,FALSE),IF(FacingSheet!$B$11=15,VLOOKUP(Q78,AgeF,3,FALSE),IF(FacingSheet!$B$11=25,VLOOKUP(Q78,AgeF,4,FALSE),IF(FacingSheet!$B$11=30,VLOOKUP(Q78,AgeF,5,FALSE),IF(FacingSheet!$B$11=50,VLOOKUP(Q78,AgeF,6,FALSE),IF(FacingSheet!$B$11=100,VLOOKUP(Q78,AgeF,7,FALSE),"")))))))</f>
        <v/>
      </c>
      <c r="T78" s="108" t="str">
        <f t="shared" si="2"/>
        <v/>
      </c>
      <c r="U78" s="29"/>
      <c r="V78" s="29"/>
      <c r="W78" s="29"/>
      <c r="X78" s="132"/>
      <c r="Y78" s="132"/>
      <c r="Z78" s="132"/>
    </row>
    <row r="79" spans="1:26">
      <c r="A79" s="36"/>
      <c r="B79" s="133"/>
      <c r="C79" s="133"/>
      <c r="D79" s="1" t="str">
        <f t="shared" si="3"/>
        <v xml:space="preserve"> </v>
      </c>
      <c r="E79" s="29"/>
      <c r="F79" s="29"/>
      <c r="G79" s="29"/>
      <c r="H79" s="193"/>
      <c r="I79" s="131"/>
      <c r="J79" s="100" t="str">
        <f>IF(FacingSheet!$B$11=10,IF(ISERROR(((((H79*1440)-20)*60)-(((H79*1440)-20)^1.6)*2.5)/86400),"",((((H79*1440)-20)*60)-(((H79*1440)-20)^1.6)*2.5)/86400),"")</f>
        <v/>
      </c>
      <c r="K79" s="100" t="str">
        <f>IF(FacingSheet!$B$11=15,IF(ISERROR(((((H79*1440)-33)*60)-(((H79*1440)-33)^1.6)*1.667)/86400),"",((((H79*1440)-33)*60)-(((H79*1440)-33)^1.6)*1.667)/86400),"")</f>
        <v/>
      </c>
      <c r="L79" s="100" t="str">
        <f>IF(FacingSheet!$B$11=25,IF(ISERROR(((((H79*1440)-50)*60)-(((H79*1440)-50)^1.6))/86400),"",((((H79*1440)-50)*60)-(((H79*1440)-50)^1.6))/86400),"")</f>
        <v/>
      </c>
      <c r="M79" s="100" t="str">
        <f>IF(FacingSheet!$B$11=30,IF(ISERROR(((((H79*1440)-60)*60)-((((H79*1440)-60)^1.6))/1.2)/86400),"",((((H79*1440)-60)*60)-((((H79*1440)-60)^1.6))/1.2)/86400),"")</f>
        <v/>
      </c>
      <c r="N79" s="100" t="str">
        <f>IF(FacingSheet!$B$11=50,IF(ISERROR(((((H79*1440)-105)*60)-((((H79*1440)-105)^1.6))/2)/86400),"",((((H79*1440)-105)*60)-((((H79*1440)-105)^1.6))/2)/86400),"")</f>
        <v/>
      </c>
      <c r="O79" s="100" t="str">
        <f>IF(FacingSheet!$B$11=100,IF(ISERROR(((((H79*1440)-230)*60)-((((H79*1440)-230)^1.6))/4)/86400),"",((((H79*1440)-230)*60)-((((H79*1440)-230)^1.6))/4)/86400),"")</f>
        <v/>
      </c>
      <c r="P79" s="108" t="str">
        <f>IF(FacingSheet!$B$11=10,J79,IF(FacingSheet!$B$11=15,K79,IF(FacingSheet!$B$11=25,L79,IF(FacingSheet!$B$11=30,M79,IF(FacingSheet!$B$11=50,N79,IF(FacingSheet!$B$11=100,O79,""))))))</f>
        <v/>
      </c>
      <c r="Q79" s="65" t="str">
        <f>IF(OR(F79="V",F79="FV"),IF(I79="","",IF(MONTH(FacingSheet!$S$9)&gt;MONTH(I79),YEAR(FacingSheet!$S$9)-YEAR(I79),IF(AND(MONTH(FacingSheet!$S$9)=MONTH(I79),DAY(FacingSheet!$S$9)&gt;=DAY(I79)),YEAR(FacingSheet!$S$9)-YEAR(I79),(YEAR(FacingSheet!$S$9)-YEAR(I79))-1))),"")</f>
        <v/>
      </c>
      <c r="R79" s="108" t="str">
        <f>IF(Q79="","",IF(FacingSheet!$B$11=10,VLOOKUP(Q79,Age,2,FALSE),IF(FacingSheet!$B$11=15,VLOOKUP(Q79,Age,3,FALSE),IF(FacingSheet!$B$11=25,VLOOKUP(Q79,Age,4,FALSE),IF(FacingSheet!$B$11=30,VLOOKUP(Q79,Age,5,FALSE),IF(FacingSheet!$B$11=50,VLOOKUP(Q79,Age,6,FALSE),IF(FacingSheet!$B$11=100,VLOOKUP(Q79,Age,7,FALSE),"")))))))</f>
        <v/>
      </c>
      <c r="S79" s="108" t="str">
        <f>IF(Q79="","",IF(FacingSheet!$B$11=10,VLOOKUP(Q79,AgeF,2,FALSE),IF(FacingSheet!$B$11=15,VLOOKUP(Q79,AgeF,3,FALSE),IF(FacingSheet!$B$11=25,VLOOKUP(Q79,AgeF,4,FALSE),IF(FacingSheet!$B$11=30,VLOOKUP(Q79,AgeF,5,FALSE),IF(FacingSheet!$B$11=50,VLOOKUP(Q79,AgeF,6,FALSE),IF(FacingSheet!$B$11=100,VLOOKUP(Q79,AgeF,7,FALSE),"")))))))</f>
        <v/>
      </c>
      <c r="T79" s="108" t="str">
        <f t="shared" si="2"/>
        <v/>
      </c>
      <c r="U79" s="29"/>
      <c r="V79" s="29"/>
      <c r="W79" s="29"/>
      <c r="X79" s="132"/>
      <c r="Y79" s="132"/>
      <c r="Z79" s="132"/>
    </row>
    <row r="80" spans="1:26">
      <c r="A80" s="36"/>
      <c r="B80" s="133"/>
      <c r="C80" s="133"/>
      <c r="D80" s="1" t="str">
        <f t="shared" si="3"/>
        <v xml:space="preserve"> </v>
      </c>
      <c r="E80" s="29"/>
      <c r="F80" s="29"/>
      <c r="G80" s="29"/>
      <c r="H80" s="193"/>
      <c r="I80" s="131"/>
      <c r="J80" s="100" t="str">
        <f>IF(FacingSheet!$B$11=10,IF(ISERROR(((((H80*1440)-20)*60)-(((H80*1440)-20)^1.6)*2.5)/86400),"",((((H80*1440)-20)*60)-(((H80*1440)-20)^1.6)*2.5)/86400),"")</f>
        <v/>
      </c>
      <c r="K80" s="100" t="str">
        <f>IF(FacingSheet!$B$11=15,IF(ISERROR(((((H80*1440)-33)*60)-(((H80*1440)-33)^1.6)*1.667)/86400),"",((((H80*1440)-33)*60)-(((H80*1440)-33)^1.6)*1.667)/86400),"")</f>
        <v/>
      </c>
      <c r="L80" s="100" t="str">
        <f>IF(FacingSheet!$B$11=25,IF(ISERROR(((((H80*1440)-50)*60)-(((H80*1440)-50)^1.6))/86400),"",((((H80*1440)-50)*60)-(((H80*1440)-50)^1.6))/86400),"")</f>
        <v/>
      </c>
      <c r="M80" s="100" t="str">
        <f>IF(FacingSheet!$B$11=30,IF(ISERROR(((((H80*1440)-60)*60)-((((H80*1440)-60)^1.6))/1.2)/86400),"",((((H80*1440)-60)*60)-((((H80*1440)-60)^1.6))/1.2)/86400),"")</f>
        <v/>
      </c>
      <c r="N80" s="100" t="str">
        <f>IF(FacingSheet!$B$11=50,IF(ISERROR(((((H80*1440)-105)*60)-((((H80*1440)-105)^1.6))/2)/86400),"",((((H80*1440)-105)*60)-((((H80*1440)-105)^1.6))/2)/86400),"")</f>
        <v/>
      </c>
      <c r="O80" s="100" t="str">
        <f>IF(FacingSheet!$B$11=100,IF(ISERROR(((((H80*1440)-230)*60)-((((H80*1440)-230)^1.6))/4)/86400),"",((((H80*1440)-230)*60)-((((H80*1440)-230)^1.6))/4)/86400),"")</f>
        <v/>
      </c>
      <c r="P80" s="108" t="str">
        <f>IF(FacingSheet!$B$11=10,J80,IF(FacingSheet!$B$11=15,K80,IF(FacingSheet!$B$11=25,L80,IF(FacingSheet!$B$11=30,M80,IF(FacingSheet!$B$11=50,N80,IF(FacingSheet!$B$11=100,O80,""))))))</f>
        <v/>
      </c>
      <c r="Q80" s="65" t="str">
        <f>IF(OR(F80="V",F80="FV"),IF(I80="","",IF(MONTH(FacingSheet!$S$9)&gt;MONTH(I80),YEAR(FacingSheet!$S$9)-YEAR(I80),IF(AND(MONTH(FacingSheet!$S$9)=MONTH(I80),DAY(FacingSheet!$S$9)&gt;=DAY(I80)),YEAR(FacingSheet!$S$9)-YEAR(I80),(YEAR(FacingSheet!$S$9)-YEAR(I80))-1))),"")</f>
        <v/>
      </c>
      <c r="R80" s="108" t="str">
        <f>IF(Q80="","",IF(FacingSheet!$B$11=10,VLOOKUP(Q80,Age,2,FALSE),IF(FacingSheet!$B$11=15,VLOOKUP(Q80,Age,3,FALSE),IF(FacingSheet!$B$11=25,VLOOKUP(Q80,Age,4,FALSE),IF(FacingSheet!$B$11=30,VLOOKUP(Q80,Age,5,FALSE),IF(FacingSheet!$B$11=50,VLOOKUP(Q80,Age,6,FALSE),IF(FacingSheet!$B$11=100,VLOOKUP(Q80,Age,7,FALSE),"")))))))</f>
        <v/>
      </c>
      <c r="S80" s="108" t="str">
        <f>IF(Q80="","",IF(FacingSheet!$B$11=10,VLOOKUP(Q80,AgeF,2,FALSE),IF(FacingSheet!$B$11=15,VLOOKUP(Q80,AgeF,3,FALSE),IF(FacingSheet!$B$11=25,VLOOKUP(Q80,AgeF,4,FALSE),IF(FacingSheet!$B$11=30,VLOOKUP(Q80,AgeF,5,FALSE),IF(FacingSheet!$B$11=50,VLOOKUP(Q80,AgeF,6,FALSE),IF(FacingSheet!$B$11=100,VLOOKUP(Q80,AgeF,7,FALSE),"")))))))</f>
        <v/>
      </c>
      <c r="T80" s="108" t="str">
        <f t="shared" si="2"/>
        <v/>
      </c>
      <c r="U80" s="29"/>
      <c r="V80" s="29"/>
      <c r="W80" s="29"/>
      <c r="X80" s="132"/>
      <c r="Y80" s="132"/>
      <c r="Z80" s="132"/>
    </row>
    <row r="81" spans="1:26">
      <c r="A81" s="36"/>
      <c r="B81" s="133"/>
      <c r="C81" s="133"/>
      <c r="D81" s="1" t="str">
        <f t="shared" si="3"/>
        <v xml:space="preserve"> </v>
      </c>
      <c r="E81" s="29"/>
      <c r="F81" s="29"/>
      <c r="G81" s="29"/>
      <c r="H81" s="193"/>
      <c r="I81" s="131"/>
      <c r="J81" s="100" t="str">
        <f>IF(FacingSheet!$B$11=10,IF(ISERROR(((((H81*1440)-20)*60)-(((H81*1440)-20)^1.6)*2.5)/86400),"",((((H81*1440)-20)*60)-(((H81*1440)-20)^1.6)*2.5)/86400),"")</f>
        <v/>
      </c>
      <c r="K81" s="100" t="str">
        <f>IF(FacingSheet!$B$11=15,IF(ISERROR(((((H81*1440)-33)*60)-(((H81*1440)-33)^1.6)*1.667)/86400),"",((((H81*1440)-33)*60)-(((H81*1440)-33)^1.6)*1.667)/86400),"")</f>
        <v/>
      </c>
      <c r="L81" s="100" t="str">
        <f>IF(FacingSheet!$B$11=25,IF(ISERROR(((((H81*1440)-50)*60)-(((H81*1440)-50)^1.6))/86400),"",((((H81*1440)-50)*60)-(((H81*1440)-50)^1.6))/86400),"")</f>
        <v/>
      </c>
      <c r="M81" s="100" t="str">
        <f>IF(FacingSheet!$B$11=30,IF(ISERROR(((((H81*1440)-60)*60)-((((H81*1440)-60)^1.6))/1.2)/86400),"",((((H81*1440)-60)*60)-((((H81*1440)-60)^1.6))/1.2)/86400),"")</f>
        <v/>
      </c>
      <c r="N81" s="100" t="str">
        <f>IF(FacingSheet!$B$11=50,IF(ISERROR(((((H81*1440)-105)*60)-((((H81*1440)-105)^1.6))/2)/86400),"",((((H81*1440)-105)*60)-((((H81*1440)-105)^1.6))/2)/86400),"")</f>
        <v/>
      </c>
      <c r="O81" s="100" t="str">
        <f>IF(FacingSheet!$B$11=100,IF(ISERROR(((((H81*1440)-230)*60)-((((H81*1440)-230)^1.6))/4)/86400),"",((((H81*1440)-230)*60)-((((H81*1440)-230)^1.6))/4)/86400),"")</f>
        <v/>
      </c>
      <c r="P81" s="108" t="str">
        <f>IF(FacingSheet!$B$11=10,J81,IF(FacingSheet!$B$11=15,K81,IF(FacingSheet!$B$11=25,L81,IF(FacingSheet!$B$11=30,M81,IF(FacingSheet!$B$11=50,N81,IF(FacingSheet!$B$11=100,O81,""))))))</f>
        <v/>
      </c>
      <c r="Q81" s="65" t="str">
        <f>IF(OR(F81="V",F81="FV"),IF(I81="","",IF(MONTH(FacingSheet!$S$9)&gt;MONTH(I81),YEAR(FacingSheet!$S$9)-YEAR(I81),IF(AND(MONTH(FacingSheet!$S$9)=MONTH(I81),DAY(FacingSheet!$S$9)&gt;=DAY(I81)),YEAR(FacingSheet!$S$9)-YEAR(I81),(YEAR(FacingSheet!$S$9)-YEAR(I81))-1))),"")</f>
        <v/>
      </c>
      <c r="R81" s="108" t="str">
        <f>IF(Q81="","",IF(FacingSheet!$B$11=10,VLOOKUP(Q81,Age,2,FALSE),IF(FacingSheet!$B$11=15,VLOOKUP(Q81,Age,3,FALSE),IF(FacingSheet!$B$11=25,VLOOKUP(Q81,Age,4,FALSE),IF(FacingSheet!$B$11=30,VLOOKUP(Q81,Age,5,FALSE),IF(FacingSheet!$B$11=50,VLOOKUP(Q81,Age,6,FALSE),IF(FacingSheet!$B$11=100,VLOOKUP(Q81,Age,7,FALSE),"")))))))</f>
        <v/>
      </c>
      <c r="S81" s="108" t="str">
        <f>IF(Q81="","",IF(FacingSheet!$B$11=10,VLOOKUP(Q81,AgeF,2,FALSE),IF(FacingSheet!$B$11=15,VLOOKUP(Q81,AgeF,3,FALSE),IF(FacingSheet!$B$11=25,VLOOKUP(Q81,AgeF,4,FALSE),IF(FacingSheet!$B$11=30,VLOOKUP(Q81,AgeF,5,FALSE),IF(FacingSheet!$B$11=50,VLOOKUP(Q81,AgeF,6,FALSE),IF(FacingSheet!$B$11=100,VLOOKUP(Q81,AgeF,7,FALSE),"")))))))</f>
        <v/>
      </c>
      <c r="T81" s="108" t="str">
        <f t="shared" si="2"/>
        <v/>
      </c>
      <c r="U81" s="29"/>
      <c r="V81" s="29"/>
      <c r="W81" s="29"/>
      <c r="X81" s="132"/>
      <c r="Y81" s="132"/>
      <c r="Z81" s="132"/>
    </row>
    <row r="82" spans="1:26">
      <c r="A82" s="36"/>
      <c r="B82" s="133"/>
      <c r="C82" s="133"/>
      <c r="D82" s="1" t="str">
        <f t="shared" si="3"/>
        <v xml:space="preserve"> </v>
      </c>
      <c r="E82" s="29"/>
      <c r="F82" s="29"/>
      <c r="G82" s="29"/>
      <c r="H82" s="193"/>
      <c r="I82" s="131"/>
      <c r="J82" s="100" t="str">
        <f>IF(FacingSheet!$B$11=10,IF(ISERROR(((((H82*1440)-20)*60)-(((H82*1440)-20)^1.6)*2.5)/86400),"",((((H82*1440)-20)*60)-(((H82*1440)-20)^1.6)*2.5)/86400),"")</f>
        <v/>
      </c>
      <c r="K82" s="100" t="str">
        <f>IF(FacingSheet!$B$11=15,IF(ISERROR(((((H82*1440)-33)*60)-(((H82*1440)-33)^1.6)*1.667)/86400),"",((((H82*1440)-33)*60)-(((H82*1440)-33)^1.6)*1.667)/86400),"")</f>
        <v/>
      </c>
      <c r="L82" s="100" t="str">
        <f>IF(FacingSheet!$B$11=25,IF(ISERROR(((((H82*1440)-50)*60)-(((H82*1440)-50)^1.6))/86400),"",((((H82*1440)-50)*60)-(((H82*1440)-50)^1.6))/86400),"")</f>
        <v/>
      </c>
      <c r="M82" s="100" t="str">
        <f>IF(FacingSheet!$B$11=30,IF(ISERROR(((((H82*1440)-60)*60)-((((H82*1440)-60)^1.6))/1.2)/86400),"",((((H82*1440)-60)*60)-((((H82*1440)-60)^1.6))/1.2)/86400),"")</f>
        <v/>
      </c>
      <c r="N82" s="100" t="str">
        <f>IF(FacingSheet!$B$11=50,IF(ISERROR(((((H82*1440)-105)*60)-((((H82*1440)-105)^1.6))/2)/86400),"",((((H82*1440)-105)*60)-((((H82*1440)-105)^1.6))/2)/86400),"")</f>
        <v/>
      </c>
      <c r="O82" s="100" t="str">
        <f>IF(FacingSheet!$B$11=100,IF(ISERROR(((((H82*1440)-230)*60)-((((H82*1440)-230)^1.6))/4)/86400),"",((((H82*1440)-230)*60)-((((H82*1440)-230)^1.6))/4)/86400),"")</f>
        <v/>
      </c>
      <c r="P82" s="108" t="str">
        <f>IF(FacingSheet!$B$11=10,J82,IF(FacingSheet!$B$11=15,K82,IF(FacingSheet!$B$11=25,L82,IF(FacingSheet!$B$11=30,M82,IF(FacingSheet!$B$11=50,N82,IF(FacingSheet!$B$11=100,O82,""))))))</f>
        <v/>
      </c>
      <c r="Q82" s="65" t="str">
        <f>IF(OR(F82="V",F82="FV"),IF(I82="","",IF(MONTH(FacingSheet!$S$9)&gt;MONTH(I82),YEAR(FacingSheet!$S$9)-YEAR(I82),IF(AND(MONTH(FacingSheet!$S$9)=MONTH(I82),DAY(FacingSheet!$S$9)&gt;=DAY(I82)),YEAR(FacingSheet!$S$9)-YEAR(I82),(YEAR(FacingSheet!$S$9)-YEAR(I82))-1))),"")</f>
        <v/>
      </c>
      <c r="R82" s="108" t="str">
        <f>IF(Q82="","",IF(FacingSheet!$B$11=10,VLOOKUP(Q82,Age,2,FALSE),IF(FacingSheet!$B$11=15,VLOOKUP(Q82,Age,3,FALSE),IF(FacingSheet!$B$11=25,VLOOKUP(Q82,Age,4,FALSE),IF(FacingSheet!$B$11=30,VLOOKUP(Q82,Age,5,FALSE),IF(FacingSheet!$B$11=50,VLOOKUP(Q82,Age,6,FALSE),IF(FacingSheet!$B$11=100,VLOOKUP(Q82,Age,7,FALSE),"")))))))</f>
        <v/>
      </c>
      <c r="S82" s="108" t="str">
        <f>IF(Q82="","",IF(FacingSheet!$B$11=10,VLOOKUP(Q82,AgeF,2,FALSE),IF(FacingSheet!$B$11=15,VLOOKUP(Q82,AgeF,3,FALSE),IF(FacingSheet!$B$11=25,VLOOKUP(Q82,AgeF,4,FALSE),IF(FacingSheet!$B$11=30,VLOOKUP(Q82,AgeF,5,FALSE),IF(FacingSheet!$B$11=50,VLOOKUP(Q82,AgeF,6,FALSE),IF(FacingSheet!$B$11=100,VLOOKUP(Q82,AgeF,7,FALSE),"")))))))</f>
        <v/>
      </c>
      <c r="T82" s="108" t="str">
        <f t="shared" si="2"/>
        <v/>
      </c>
      <c r="U82" s="29"/>
      <c r="V82" s="29"/>
      <c r="W82" s="29"/>
      <c r="X82" s="132"/>
      <c r="Y82" s="132"/>
      <c r="Z82" s="132"/>
    </row>
    <row r="83" spans="1:26">
      <c r="A83" s="36"/>
      <c r="B83" s="133"/>
      <c r="C83" s="133"/>
      <c r="D83" s="1" t="str">
        <f t="shared" si="3"/>
        <v xml:space="preserve"> </v>
      </c>
      <c r="E83" s="29"/>
      <c r="F83" s="29"/>
      <c r="G83" s="29"/>
      <c r="H83" s="193"/>
      <c r="I83" s="131"/>
      <c r="J83" s="100" t="str">
        <f>IF(FacingSheet!$B$11=10,IF(ISERROR(((((H83*1440)-20)*60)-(((H83*1440)-20)^1.6)*2.5)/86400),"",((((H83*1440)-20)*60)-(((H83*1440)-20)^1.6)*2.5)/86400),"")</f>
        <v/>
      </c>
      <c r="K83" s="100" t="str">
        <f>IF(FacingSheet!$B$11=15,IF(ISERROR(((((H83*1440)-33)*60)-(((H83*1440)-33)^1.6)*1.667)/86400),"",((((H83*1440)-33)*60)-(((H83*1440)-33)^1.6)*1.667)/86400),"")</f>
        <v/>
      </c>
      <c r="L83" s="100" t="str">
        <f>IF(FacingSheet!$B$11=25,IF(ISERROR(((((H83*1440)-50)*60)-(((H83*1440)-50)^1.6))/86400),"",((((H83*1440)-50)*60)-(((H83*1440)-50)^1.6))/86400),"")</f>
        <v/>
      </c>
      <c r="M83" s="100" t="str">
        <f>IF(FacingSheet!$B$11=30,IF(ISERROR(((((H83*1440)-60)*60)-((((H83*1440)-60)^1.6))/1.2)/86400),"",((((H83*1440)-60)*60)-((((H83*1440)-60)^1.6))/1.2)/86400),"")</f>
        <v/>
      </c>
      <c r="N83" s="100" t="str">
        <f>IF(FacingSheet!$B$11=50,IF(ISERROR(((((H83*1440)-105)*60)-((((H83*1440)-105)^1.6))/2)/86400),"",((((H83*1440)-105)*60)-((((H83*1440)-105)^1.6))/2)/86400),"")</f>
        <v/>
      </c>
      <c r="O83" s="100" t="str">
        <f>IF(FacingSheet!$B$11=100,IF(ISERROR(((((H83*1440)-230)*60)-((((H83*1440)-230)^1.6))/4)/86400),"",((((H83*1440)-230)*60)-((((H83*1440)-230)^1.6))/4)/86400),"")</f>
        <v/>
      </c>
      <c r="P83" s="108" t="str">
        <f>IF(FacingSheet!$B$11=10,J83,IF(FacingSheet!$B$11=15,K83,IF(FacingSheet!$B$11=25,L83,IF(FacingSheet!$B$11=30,M83,IF(FacingSheet!$B$11=50,N83,IF(FacingSheet!$B$11=100,O83,""))))))</f>
        <v/>
      </c>
      <c r="Q83" s="65" t="str">
        <f>IF(OR(F83="V",F83="FV"),IF(I83="","",IF(MONTH(FacingSheet!$S$9)&gt;MONTH(I83),YEAR(FacingSheet!$S$9)-YEAR(I83),IF(AND(MONTH(FacingSheet!$S$9)=MONTH(I83),DAY(FacingSheet!$S$9)&gt;=DAY(I83)),YEAR(FacingSheet!$S$9)-YEAR(I83),(YEAR(FacingSheet!$S$9)-YEAR(I83))-1))),"")</f>
        <v/>
      </c>
      <c r="R83" s="108" t="str">
        <f>IF(Q83="","",IF(FacingSheet!$B$11=10,VLOOKUP(Q83,Age,2,FALSE),IF(FacingSheet!$B$11=15,VLOOKUP(Q83,Age,3,FALSE),IF(FacingSheet!$B$11=25,VLOOKUP(Q83,Age,4,FALSE),IF(FacingSheet!$B$11=30,VLOOKUP(Q83,Age,5,FALSE),IF(FacingSheet!$B$11=50,VLOOKUP(Q83,Age,6,FALSE),IF(FacingSheet!$B$11=100,VLOOKUP(Q83,Age,7,FALSE),"")))))))</f>
        <v/>
      </c>
      <c r="S83" s="108" t="str">
        <f>IF(Q83="","",IF(FacingSheet!$B$11=10,VLOOKUP(Q83,AgeF,2,FALSE),IF(FacingSheet!$B$11=15,VLOOKUP(Q83,AgeF,3,FALSE),IF(FacingSheet!$B$11=25,VLOOKUP(Q83,AgeF,4,FALSE),IF(FacingSheet!$B$11=30,VLOOKUP(Q83,AgeF,5,FALSE),IF(FacingSheet!$B$11=50,VLOOKUP(Q83,AgeF,6,FALSE),IF(FacingSheet!$B$11=100,VLOOKUP(Q83,AgeF,7,FALSE),"")))))))</f>
        <v/>
      </c>
      <c r="T83" s="108" t="str">
        <f t="shared" si="2"/>
        <v/>
      </c>
      <c r="U83" s="29"/>
      <c r="V83" s="29"/>
      <c r="W83" s="29"/>
      <c r="X83" s="132"/>
      <c r="Y83" s="132"/>
      <c r="Z83" s="132"/>
    </row>
    <row r="84" spans="1:26">
      <c r="A84" s="36"/>
      <c r="B84" s="133"/>
      <c r="C84" s="133"/>
      <c r="D84" s="1" t="str">
        <f t="shared" si="3"/>
        <v xml:space="preserve"> </v>
      </c>
      <c r="E84" s="29"/>
      <c r="F84" s="29"/>
      <c r="G84" s="29"/>
      <c r="H84" s="193"/>
      <c r="I84" s="131"/>
      <c r="J84" s="100" t="str">
        <f>IF(FacingSheet!$B$11=10,IF(ISERROR(((((H84*1440)-20)*60)-(((H84*1440)-20)^1.6)*2.5)/86400),"",((((H84*1440)-20)*60)-(((H84*1440)-20)^1.6)*2.5)/86400),"")</f>
        <v/>
      </c>
      <c r="K84" s="100" t="str">
        <f>IF(FacingSheet!$B$11=15,IF(ISERROR(((((H84*1440)-33)*60)-(((H84*1440)-33)^1.6)*1.667)/86400),"",((((H84*1440)-33)*60)-(((H84*1440)-33)^1.6)*1.667)/86400),"")</f>
        <v/>
      </c>
      <c r="L84" s="100" t="str">
        <f>IF(FacingSheet!$B$11=25,IF(ISERROR(((((H84*1440)-50)*60)-(((H84*1440)-50)^1.6))/86400),"",((((H84*1440)-50)*60)-(((H84*1440)-50)^1.6))/86400),"")</f>
        <v/>
      </c>
      <c r="M84" s="100" t="str">
        <f>IF(FacingSheet!$B$11=30,IF(ISERROR(((((H84*1440)-60)*60)-((((H84*1440)-60)^1.6))/1.2)/86400),"",((((H84*1440)-60)*60)-((((H84*1440)-60)^1.6))/1.2)/86400),"")</f>
        <v/>
      </c>
      <c r="N84" s="100" t="str">
        <f>IF(FacingSheet!$B$11=50,IF(ISERROR(((((H84*1440)-105)*60)-((((H84*1440)-105)^1.6))/2)/86400),"",((((H84*1440)-105)*60)-((((H84*1440)-105)^1.6))/2)/86400),"")</f>
        <v/>
      </c>
      <c r="O84" s="100" t="str">
        <f>IF(FacingSheet!$B$11=100,IF(ISERROR(((((H84*1440)-230)*60)-((((H84*1440)-230)^1.6))/4)/86400),"",((((H84*1440)-230)*60)-((((H84*1440)-230)^1.6))/4)/86400),"")</f>
        <v/>
      </c>
      <c r="P84" s="108" t="str">
        <f>IF(FacingSheet!$B$11=10,J84,IF(FacingSheet!$B$11=15,K84,IF(FacingSheet!$B$11=25,L84,IF(FacingSheet!$B$11=30,M84,IF(FacingSheet!$B$11=50,N84,IF(FacingSheet!$B$11=100,O84,""))))))</f>
        <v/>
      </c>
      <c r="Q84" s="65" t="str">
        <f>IF(OR(F84="V",F84="FV"),IF(I84="","",IF(MONTH(FacingSheet!$S$9)&gt;MONTH(I84),YEAR(FacingSheet!$S$9)-YEAR(I84),IF(AND(MONTH(FacingSheet!$S$9)=MONTH(I84),DAY(FacingSheet!$S$9)&gt;=DAY(I84)),YEAR(FacingSheet!$S$9)-YEAR(I84),(YEAR(FacingSheet!$S$9)-YEAR(I84))-1))),"")</f>
        <v/>
      </c>
      <c r="R84" s="108" t="str">
        <f>IF(Q84="","",IF(FacingSheet!$B$11=10,VLOOKUP(Q84,Age,2,FALSE),IF(FacingSheet!$B$11=15,VLOOKUP(Q84,Age,3,FALSE),IF(FacingSheet!$B$11=25,VLOOKUP(Q84,Age,4,FALSE),IF(FacingSheet!$B$11=30,VLOOKUP(Q84,Age,5,FALSE),IF(FacingSheet!$B$11=50,VLOOKUP(Q84,Age,6,FALSE),IF(FacingSheet!$B$11=100,VLOOKUP(Q84,Age,7,FALSE),"")))))))</f>
        <v/>
      </c>
      <c r="S84" s="108" t="str">
        <f>IF(Q84="","",IF(FacingSheet!$B$11=10,VLOOKUP(Q84,AgeF,2,FALSE),IF(FacingSheet!$B$11=15,VLOOKUP(Q84,AgeF,3,FALSE),IF(FacingSheet!$B$11=25,VLOOKUP(Q84,AgeF,4,FALSE),IF(FacingSheet!$B$11=30,VLOOKUP(Q84,AgeF,5,FALSE),IF(FacingSheet!$B$11=50,VLOOKUP(Q84,AgeF,6,FALSE),IF(FacingSheet!$B$11=100,VLOOKUP(Q84,AgeF,7,FALSE),"")))))))</f>
        <v/>
      </c>
      <c r="T84" s="108" t="str">
        <f t="shared" si="2"/>
        <v/>
      </c>
      <c r="U84" s="29"/>
      <c r="V84" s="29"/>
      <c r="W84" s="29"/>
      <c r="X84" s="132"/>
      <c r="Y84" s="132"/>
      <c r="Z84" s="132"/>
    </row>
    <row r="85" spans="1:26">
      <c r="A85" s="36"/>
      <c r="B85" s="133"/>
      <c r="C85" s="133"/>
      <c r="D85" s="1" t="str">
        <f t="shared" si="3"/>
        <v xml:space="preserve"> </v>
      </c>
      <c r="E85" s="29"/>
      <c r="F85" s="29"/>
      <c r="G85" s="29"/>
      <c r="H85" s="193"/>
      <c r="I85" s="131"/>
      <c r="J85" s="100" t="str">
        <f>IF(FacingSheet!$B$11=10,IF(ISERROR(((((H85*1440)-20)*60)-(((H85*1440)-20)^1.6)*2.5)/86400),"",((((H85*1440)-20)*60)-(((H85*1440)-20)^1.6)*2.5)/86400),"")</f>
        <v/>
      </c>
      <c r="K85" s="100" t="str">
        <f>IF(FacingSheet!$B$11=15,IF(ISERROR(((((H85*1440)-33)*60)-(((H85*1440)-33)^1.6)*1.667)/86400),"",((((H85*1440)-33)*60)-(((H85*1440)-33)^1.6)*1.667)/86400),"")</f>
        <v/>
      </c>
      <c r="L85" s="100" t="str">
        <f>IF(FacingSheet!$B$11=25,IF(ISERROR(((((H85*1440)-50)*60)-(((H85*1440)-50)^1.6))/86400),"",((((H85*1440)-50)*60)-(((H85*1440)-50)^1.6))/86400),"")</f>
        <v/>
      </c>
      <c r="M85" s="100" t="str">
        <f>IF(FacingSheet!$B$11=30,IF(ISERROR(((((H85*1440)-60)*60)-((((H85*1440)-60)^1.6))/1.2)/86400),"",((((H85*1440)-60)*60)-((((H85*1440)-60)^1.6))/1.2)/86400),"")</f>
        <v/>
      </c>
      <c r="N85" s="100" t="str">
        <f>IF(FacingSheet!$B$11=50,IF(ISERROR(((((H85*1440)-105)*60)-((((H85*1440)-105)^1.6))/2)/86400),"",((((H85*1440)-105)*60)-((((H85*1440)-105)^1.6))/2)/86400),"")</f>
        <v/>
      </c>
      <c r="O85" s="100" t="str">
        <f>IF(FacingSheet!$B$11=100,IF(ISERROR(((((H85*1440)-230)*60)-((((H85*1440)-230)^1.6))/4)/86400),"",((((H85*1440)-230)*60)-((((H85*1440)-230)^1.6))/4)/86400),"")</f>
        <v/>
      </c>
      <c r="P85" s="108" t="str">
        <f>IF(FacingSheet!$B$11=10,J85,IF(FacingSheet!$B$11=15,K85,IF(FacingSheet!$B$11=25,L85,IF(FacingSheet!$B$11=30,M85,IF(FacingSheet!$B$11=50,N85,IF(FacingSheet!$B$11=100,O85,""))))))</f>
        <v/>
      </c>
      <c r="Q85" s="65" t="str">
        <f>IF(OR(F85="V",F85="FV"),IF(I85="","",IF(MONTH(FacingSheet!$S$9)&gt;MONTH(I85),YEAR(FacingSheet!$S$9)-YEAR(I85),IF(AND(MONTH(FacingSheet!$S$9)=MONTH(I85),DAY(FacingSheet!$S$9)&gt;=DAY(I85)),YEAR(FacingSheet!$S$9)-YEAR(I85),(YEAR(FacingSheet!$S$9)-YEAR(I85))-1))),"")</f>
        <v/>
      </c>
      <c r="R85" s="108" t="str">
        <f>IF(Q85="","",IF(FacingSheet!$B$11=10,VLOOKUP(Q85,Age,2,FALSE),IF(FacingSheet!$B$11=15,VLOOKUP(Q85,Age,3,FALSE),IF(FacingSheet!$B$11=25,VLOOKUP(Q85,Age,4,FALSE),IF(FacingSheet!$B$11=30,VLOOKUP(Q85,Age,5,FALSE),IF(FacingSheet!$B$11=50,VLOOKUP(Q85,Age,6,FALSE),IF(FacingSheet!$B$11=100,VLOOKUP(Q85,Age,7,FALSE),"")))))))</f>
        <v/>
      </c>
      <c r="S85" s="108" t="str">
        <f>IF(Q85="","",IF(FacingSheet!$B$11=10,VLOOKUP(Q85,AgeF,2,FALSE),IF(FacingSheet!$B$11=15,VLOOKUP(Q85,AgeF,3,FALSE),IF(FacingSheet!$B$11=25,VLOOKUP(Q85,AgeF,4,FALSE),IF(FacingSheet!$B$11=30,VLOOKUP(Q85,AgeF,5,FALSE),IF(FacingSheet!$B$11=50,VLOOKUP(Q85,AgeF,6,FALSE),IF(FacingSheet!$B$11=100,VLOOKUP(Q85,AgeF,7,FALSE),"")))))))</f>
        <v/>
      </c>
      <c r="T85" s="108" t="str">
        <f t="shared" si="2"/>
        <v/>
      </c>
      <c r="U85" s="29"/>
      <c r="V85" s="29"/>
      <c r="W85" s="29"/>
      <c r="X85" s="132"/>
      <c r="Y85" s="132"/>
      <c r="Z85" s="132"/>
    </row>
    <row r="86" spans="1:26">
      <c r="A86" s="36"/>
      <c r="B86" s="133"/>
      <c r="C86" s="133"/>
      <c r="D86" s="1" t="str">
        <f t="shared" si="3"/>
        <v xml:space="preserve"> </v>
      </c>
      <c r="E86" s="29"/>
      <c r="F86" s="29"/>
      <c r="G86" s="29"/>
      <c r="H86" s="193"/>
      <c r="I86" s="131"/>
      <c r="J86" s="100" t="str">
        <f>IF(FacingSheet!$B$11=10,IF(ISERROR(((((H86*1440)-20)*60)-(((H86*1440)-20)^1.6)*2.5)/86400),"",((((H86*1440)-20)*60)-(((H86*1440)-20)^1.6)*2.5)/86400),"")</f>
        <v/>
      </c>
      <c r="K86" s="100" t="str">
        <f>IF(FacingSheet!$B$11=15,IF(ISERROR(((((H86*1440)-33)*60)-(((H86*1440)-33)^1.6)*1.667)/86400),"",((((H86*1440)-33)*60)-(((H86*1440)-33)^1.6)*1.667)/86400),"")</f>
        <v/>
      </c>
      <c r="L86" s="100" t="str">
        <f>IF(FacingSheet!$B$11=25,IF(ISERROR(((((H86*1440)-50)*60)-(((H86*1440)-50)^1.6))/86400),"",((((H86*1440)-50)*60)-(((H86*1440)-50)^1.6))/86400),"")</f>
        <v/>
      </c>
      <c r="M86" s="100" t="str">
        <f>IF(FacingSheet!$B$11=30,IF(ISERROR(((((H86*1440)-60)*60)-((((H86*1440)-60)^1.6))/1.2)/86400),"",((((H86*1440)-60)*60)-((((H86*1440)-60)^1.6))/1.2)/86400),"")</f>
        <v/>
      </c>
      <c r="N86" s="100" t="str">
        <f>IF(FacingSheet!$B$11=50,IF(ISERROR(((((H86*1440)-105)*60)-((((H86*1440)-105)^1.6))/2)/86400),"",((((H86*1440)-105)*60)-((((H86*1440)-105)^1.6))/2)/86400),"")</f>
        <v/>
      </c>
      <c r="O86" s="100" t="str">
        <f>IF(FacingSheet!$B$11=100,IF(ISERROR(((((H86*1440)-230)*60)-((((H86*1440)-230)^1.6))/4)/86400),"",((((H86*1440)-230)*60)-((((H86*1440)-230)^1.6))/4)/86400),"")</f>
        <v/>
      </c>
      <c r="P86" s="108" t="str">
        <f>IF(FacingSheet!$B$11=10,J86,IF(FacingSheet!$B$11=15,K86,IF(FacingSheet!$B$11=25,L86,IF(FacingSheet!$B$11=30,M86,IF(FacingSheet!$B$11=50,N86,IF(FacingSheet!$B$11=100,O86,""))))))</f>
        <v/>
      </c>
      <c r="Q86" s="65" t="str">
        <f>IF(OR(F86="V",F86="FV"),IF(I86="","",IF(MONTH(FacingSheet!$S$9)&gt;MONTH(I86),YEAR(FacingSheet!$S$9)-YEAR(I86),IF(AND(MONTH(FacingSheet!$S$9)=MONTH(I86),DAY(FacingSheet!$S$9)&gt;=DAY(I86)),YEAR(FacingSheet!$S$9)-YEAR(I86),(YEAR(FacingSheet!$S$9)-YEAR(I86))-1))),"")</f>
        <v/>
      </c>
      <c r="R86" s="108" t="str">
        <f>IF(Q86="","",IF(FacingSheet!$B$11=10,VLOOKUP(Q86,Age,2,FALSE),IF(FacingSheet!$B$11=15,VLOOKUP(Q86,Age,3,FALSE),IF(FacingSheet!$B$11=25,VLOOKUP(Q86,Age,4,FALSE),IF(FacingSheet!$B$11=30,VLOOKUP(Q86,Age,5,FALSE),IF(FacingSheet!$B$11=50,VLOOKUP(Q86,Age,6,FALSE),IF(FacingSheet!$B$11=100,VLOOKUP(Q86,Age,7,FALSE),"")))))))</f>
        <v/>
      </c>
      <c r="S86" s="108" t="str">
        <f>IF(Q86="","",IF(FacingSheet!$B$11=10,VLOOKUP(Q86,AgeF,2,FALSE),IF(FacingSheet!$B$11=15,VLOOKUP(Q86,AgeF,3,FALSE),IF(FacingSheet!$B$11=25,VLOOKUP(Q86,AgeF,4,FALSE),IF(FacingSheet!$B$11=30,VLOOKUP(Q86,AgeF,5,FALSE),IF(FacingSheet!$B$11=50,VLOOKUP(Q86,AgeF,6,FALSE),IF(FacingSheet!$B$11=100,VLOOKUP(Q86,AgeF,7,FALSE),"")))))))</f>
        <v/>
      </c>
      <c r="T86" s="108" t="str">
        <f t="shared" si="2"/>
        <v/>
      </c>
      <c r="U86" s="29"/>
      <c r="V86" s="29"/>
      <c r="W86" s="29"/>
      <c r="X86" s="132"/>
      <c r="Y86" s="132"/>
      <c r="Z86" s="132"/>
    </row>
    <row r="87" spans="1:26">
      <c r="A87" s="36"/>
      <c r="B87" s="133"/>
      <c r="C87" s="133"/>
      <c r="D87" s="1" t="str">
        <f t="shared" si="3"/>
        <v xml:space="preserve"> </v>
      </c>
      <c r="E87" s="29"/>
      <c r="F87" s="29"/>
      <c r="G87" s="29"/>
      <c r="H87" s="193"/>
      <c r="I87" s="131"/>
      <c r="J87" s="100" t="str">
        <f>IF(FacingSheet!$B$11=10,IF(ISERROR(((((H87*1440)-20)*60)-(((H87*1440)-20)^1.6)*2.5)/86400),"",((((H87*1440)-20)*60)-(((H87*1440)-20)^1.6)*2.5)/86400),"")</f>
        <v/>
      </c>
      <c r="K87" s="100" t="str">
        <f>IF(FacingSheet!$B$11=15,IF(ISERROR(((((H87*1440)-33)*60)-(((H87*1440)-33)^1.6)*1.667)/86400),"",((((H87*1440)-33)*60)-(((H87*1440)-33)^1.6)*1.667)/86400),"")</f>
        <v/>
      </c>
      <c r="L87" s="100" t="str">
        <f>IF(FacingSheet!$B$11=25,IF(ISERROR(((((H87*1440)-50)*60)-(((H87*1440)-50)^1.6))/86400),"",((((H87*1440)-50)*60)-(((H87*1440)-50)^1.6))/86400),"")</f>
        <v/>
      </c>
      <c r="M87" s="100" t="str">
        <f>IF(FacingSheet!$B$11=30,IF(ISERROR(((((H87*1440)-60)*60)-((((H87*1440)-60)^1.6))/1.2)/86400),"",((((H87*1440)-60)*60)-((((H87*1440)-60)^1.6))/1.2)/86400),"")</f>
        <v/>
      </c>
      <c r="N87" s="100" t="str">
        <f>IF(FacingSheet!$B$11=50,IF(ISERROR(((((H87*1440)-105)*60)-((((H87*1440)-105)^1.6))/2)/86400),"",((((H87*1440)-105)*60)-((((H87*1440)-105)^1.6))/2)/86400),"")</f>
        <v/>
      </c>
      <c r="O87" s="100" t="str">
        <f>IF(FacingSheet!$B$11=100,IF(ISERROR(((((H87*1440)-230)*60)-((((H87*1440)-230)^1.6))/4)/86400),"",((((H87*1440)-230)*60)-((((H87*1440)-230)^1.6))/4)/86400),"")</f>
        <v/>
      </c>
      <c r="P87" s="108" t="str">
        <f>IF(FacingSheet!$B$11=10,J87,IF(FacingSheet!$B$11=15,K87,IF(FacingSheet!$B$11=25,L87,IF(FacingSheet!$B$11=30,M87,IF(FacingSheet!$B$11=50,N87,IF(FacingSheet!$B$11=100,O87,""))))))</f>
        <v/>
      </c>
      <c r="Q87" s="65" t="str">
        <f>IF(OR(F87="V",F87="FV"),IF(I87="","",IF(MONTH(FacingSheet!$S$9)&gt;MONTH(I87),YEAR(FacingSheet!$S$9)-YEAR(I87),IF(AND(MONTH(FacingSheet!$S$9)=MONTH(I87),DAY(FacingSheet!$S$9)&gt;=DAY(I87)),YEAR(FacingSheet!$S$9)-YEAR(I87),(YEAR(FacingSheet!$S$9)-YEAR(I87))-1))),"")</f>
        <v/>
      </c>
      <c r="R87" s="108" t="str">
        <f>IF(Q87="","",IF(FacingSheet!$B$11=10,VLOOKUP(Q87,Age,2,FALSE),IF(FacingSheet!$B$11=15,VLOOKUP(Q87,Age,3,FALSE),IF(FacingSheet!$B$11=25,VLOOKUP(Q87,Age,4,FALSE),IF(FacingSheet!$B$11=30,VLOOKUP(Q87,Age,5,FALSE),IF(FacingSheet!$B$11=50,VLOOKUP(Q87,Age,6,FALSE),IF(FacingSheet!$B$11=100,VLOOKUP(Q87,Age,7,FALSE),"")))))))</f>
        <v/>
      </c>
      <c r="S87" s="108" t="str">
        <f>IF(Q87="","",IF(FacingSheet!$B$11=10,VLOOKUP(Q87,AgeF,2,FALSE),IF(FacingSheet!$B$11=15,VLOOKUP(Q87,AgeF,3,FALSE),IF(FacingSheet!$B$11=25,VLOOKUP(Q87,AgeF,4,FALSE),IF(FacingSheet!$B$11=30,VLOOKUP(Q87,AgeF,5,FALSE),IF(FacingSheet!$B$11=50,VLOOKUP(Q87,AgeF,6,FALSE),IF(FacingSheet!$B$11=100,VLOOKUP(Q87,AgeF,7,FALSE),"")))))))</f>
        <v/>
      </c>
      <c r="T87" s="108" t="str">
        <f t="shared" si="2"/>
        <v/>
      </c>
      <c r="U87" s="29"/>
      <c r="V87" s="29"/>
      <c r="W87" s="29"/>
      <c r="X87" s="132"/>
      <c r="Y87" s="132"/>
      <c r="Z87" s="132"/>
    </row>
    <row r="88" spans="1:26">
      <c r="A88" s="36"/>
      <c r="B88" s="133"/>
      <c r="C88" s="133"/>
      <c r="D88" s="1" t="str">
        <f t="shared" si="3"/>
        <v xml:space="preserve"> </v>
      </c>
      <c r="E88" s="29"/>
      <c r="F88" s="29"/>
      <c r="G88" s="29"/>
      <c r="H88" s="193"/>
      <c r="I88" s="131"/>
      <c r="J88" s="100" t="str">
        <f>IF(FacingSheet!$B$11=10,IF(ISERROR(((((H88*1440)-20)*60)-(((H88*1440)-20)^1.6)*2.5)/86400),"",((((H88*1440)-20)*60)-(((H88*1440)-20)^1.6)*2.5)/86400),"")</f>
        <v/>
      </c>
      <c r="K88" s="100" t="str">
        <f>IF(FacingSheet!$B$11=15,IF(ISERROR(((((H88*1440)-33)*60)-(((H88*1440)-33)^1.6)*1.667)/86400),"",((((H88*1440)-33)*60)-(((H88*1440)-33)^1.6)*1.667)/86400),"")</f>
        <v/>
      </c>
      <c r="L88" s="100" t="str">
        <f>IF(FacingSheet!$B$11=25,IF(ISERROR(((((H88*1440)-50)*60)-(((H88*1440)-50)^1.6))/86400),"",((((H88*1440)-50)*60)-(((H88*1440)-50)^1.6))/86400),"")</f>
        <v/>
      </c>
      <c r="M88" s="100" t="str">
        <f>IF(FacingSheet!$B$11=30,IF(ISERROR(((((H88*1440)-60)*60)-((((H88*1440)-60)^1.6))/1.2)/86400),"",((((H88*1440)-60)*60)-((((H88*1440)-60)^1.6))/1.2)/86400),"")</f>
        <v/>
      </c>
      <c r="N88" s="100" t="str">
        <f>IF(FacingSheet!$B$11=50,IF(ISERROR(((((H88*1440)-105)*60)-((((H88*1440)-105)^1.6))/2)/86400),"",((((H88*1440)-105)*60)-((((H88*1440)-105)^1.6))/2)/86400),"")</f>
        <v/>
      </c>
      <c r="O88" s="100" t="str">
        <f>IF(FacingSheet!$B$11=100,IF(ISERROR(((((H88*1440)-230)*60)-((((H88*1440)-230)^1.6))/4)/86400),"",((((H88*1440)-230)*60)-((((H88*1440)-230)^1.6))/4)/86400),"")</f>
        <v/>
      </c>
      <c r="P88" s="108" t="str">
        <f>IF(FacingSheet!$B$11=10,J88,IF(FacingSheet!$B$11=15,K88,IF(FacingSheet!$B$11=25,L88,IF(FacingSheet!$B$11=30,M88,IF(FacingSheet!$B$11=50,N88,IF(FacingSheet!$B$11=100,O88,""))))))</f>
        <v/>
      </c>
      <c r="Q88" s="65" t="str">
        <f>IF(OR(F88="V",F88="FV"),IF(I88="","",IF(MONTH(FacingSheet!$S$9)&gt;MONTH(I88),YEAR(FacingSheet!$S$9)-YEAR(I88),IF(AND(MONTH(FacingSheet!$S$9)=MONTH(I88),DAY(FacingSheet!$S$9)&gt;=DAY(I88)),YEAR(FacingSheet!$S$9)-YEAR(I88),(YEAR(FacingSheet!$S$9)-YEAR(I88))-1))),"")</f>
        <v/>
      </c>
      <c r="R88" s="108" t="str">
        <f>IF(Q88="","",IF(FacingSheet!$B$11=10,VLOOKUP(Q88,Age,2,FALSE),IF(FacingSheet!$B$11=15,VLOOKUP(Q88,Age,3,FALSE),IF(FacingSheet!$B$11=25,VLOOKUP(Q88,Age,4,FALSE),IF(FacingSheet!$B$11=30,VLOOKUP(Q88,Age,5,FALSE),IF(FacingSheet!$B$11=50,VLOOKUP(Q88,Age,6,FALSE),IF(FacingSheet!$B$11=100,VLOOKUP(Q88,Age,7,FALSE),"")))))))</f>
        <v/>
      </c>
      <c r="S88" s="108" t="str">
        <f>IF(Q88="","",IF(FacingSheet!$B$11=10,VLOOKUP(Q88,AgeF,2,FALSE),IF(FacingSheet!$B$11=15,VLOOKUP(Q88,AgeF,3,FALSE),IF(FacingSheet!$B$11=25,VLOOKUP(Q88,AgeF,4,FALSE),IF(FacingSheet!$B$11=30,VLOOKUP(Q88,AgeF,5,FALSE),IF(FacingSheet!$B$11=50,VLOOKUP(Q88,AgeF,6,FALSE),IF(FacingSheet!$B$11=100,VLOOKUP(Q88,AgeF,7,FALSE),"")))))))</f>
        <v/>
      </c>
      <c r="T88" s="108" t="str">
        <f t="shared" si="2"/>
        <v/>
      </c>
      <c r="U88" s="29"/>
      <c r="V88" s="29"/>
      <c r="W88" s="29"/>
      <c r="X88" s="132"/>
      <c r="Y88" s="132"/>
      <c r="Z88" s="132"/>
    </row>
    <row r="89" spans="1:26">
      <c r="A89" s="36"/>
      <c r="B89" s="133"/>
      <c r="C89" s="133"/>
      <c r="D89" s="1" t="str">
        <f t="shared" si="3"/>
        <v xml:space="preserve"> </v>
      </c>
      <c r="E89" s="29"/>
      <c r="F89" s="29"/>
      <c r="G89" s="29"/>
      <c r="H89" s="193"/>
      <c r="I89" s="131"/>
      <c r="J89" s="100" t="str">
        <f>IF(FacingSheet!$B$11=10,IF(ISERROR(((((H89*1440)-20)*60)-(((H89*1440)-20)^1.6)*2.5)/86400),"",((((H89*1440)-20)*60)-(((H89*1440)-20)^1.6)*2.5)/86400),"")</f>
        <v/>
      </c>
      <c r="K89" s="100" t="str">
        <f>IF(FacingSheet!$B$11=15,IF(ISERROR(((((H89*1440)-33)*60)-(((H89*1440)-33)^1.6)*1.667)/86400),"",((((H89*1440)-33)*60)-(((H89*1440)-33)^1.6)*1.667)/86400),"")</f>
        <v/>
      </c>
      <c r="L89" s="100" t="str">
        <f>IF(FacingSheet!$B$11=25,IF(ISERROR(((((H89*1440)-50)*60)-(((H89*1440)-50)^1.6))/86400),"",((((H89*1440)-50)*60)-(((H89*1440)-50)^1.6))/86400),"")</f>
        <v/>
      </c>
      <c r="M89" s="100" t="str">
        <f>IF(FacingSheet!$B$11=30,IF(ISERROR(((((H89*1440)-60)*60)-((((H89*1440)-60)^1.6))/1.2)/86400),"",((((H89*1440)-60)*60)-((((H89*1440)-60)^1.6))/1.2)/86400),"")</f>
        <v/>
      </c>
      <c r="N89" s="100" t="str">
        <f>IF(FacingSheet!$B$11=50,IF(ISERROR(((((H89*1440)-105)*60)-((((H89*1440)-105)^1.6))/2)/86400),"",((((H89*1440)-105)*60)-((((H89*1440)-105)^1.6))/2)/86400),"")</f>
        <v/>
      </c>
      <c r="O89" s="100" t="str">
        <f>IF(FacingSheet!$B$11=100,IF(ISERROR(((((H89*1440)-230)*60)-((((H89*1440)-230)^1.6))/4)/86400),"",((((H89*1440)-230)*60)-((((H89*1440)-230)^1.6))/4)/86400),"")</f>
        <v/>
      </c>
      <c r="P89" s="108" t="str">
        <f>IF(FacingSheet!$B$11=10,J89,IF(FacingSheet!$B$11=15,K89,IF(FacingSheet!$B$11=25,L89,IF(FacingSheet!$B$11=30,M89,IF(FacingSheet!$B$11=50,N89,IF(FacingSheet!$B$11=100,O89,""))))))</f>
        <v/>
      </c>
      <c r="Q89" s="65" t="str">
        <f>IF(OR(F89="V",F89="FV"),IF(I89="","",IF(MONTH(FacingSheet!$S$9)&gt;MONTH(I89),YEAR(FacingSheet!$S$9)-YEAR(I89),IF(AND(MONTH(FacingSheet!$S$9)=MONTH(I89),DAY(FacingSheet!$S$9)&gt;=DAY(I89)),YEAR(FacingSheet!$S$9)-YEAR(I89),(YEAR(FacingSheet!$S$9)-YEAR(I89))-1))),"")</f>
        <v/>
      </c>
      <c r="R89" s="108" t="str">
        <f>IF(Q89="","",IF(FacingSheet!$B$11=10,VLOOKUP(Q89,Age,2,FALSE),IF(FacingSheet!$B$11=15,VLOOKUP(Q89,Age,3,FALSE),IF(FacingSheet!$B$11=25,VLOOKUP(Q89,Age,4,FALSE),IF(FacingSheet!$B$11=30,VLOOKUP(Q89,Age,5,FALSE),IF(FacingSheet!$B$11=50,VLOOKUP(Q89,Age,6,FALSE),IF(FacingSheet!$B$11=100,VLOOKUP(Q89,Age,7,FALSE),"")))))))</f>
        <v/>
      </c>
      <c r="S89" s="108" t="str">
        <f>IF(Q89="","",IF(FacingSheet!$B$11=10,VLOOKUP(Q89,AgeF,2,FALSE),IF(FacingSheet!$B$11=15,VLOOKUP(Q89,AgeF,3,FALSE),IF(FacingSheet!$B$11=25,VLOOKUP(Q89,AgeF,4,FALSE),IF(FacingSheet!$B$11=30,VLOOKUP(Q89,AgeF,5,FALSE),IF(FacingSheet!$B$11=50,VLOOKUP(Q89,AgeF,6,FALSE),IF(FacingSheet!$B$11=100,VLOOKUP(Q89,AgeF,7,FALSE),"")))))))</f>
        <v/>
      </c>
      <c r="T89" s="108" t="str">
        <f t="shared" si="2"/>
        <v/>
      </c>
      <c r="U89" s="29"/>
      <c r="V89" s="29"/>
      <c r="W89" s="29"/>
      <c r="X89" s="132"/>
      <c r="Y89" s="132"/>
      <c r="Z89" s="132"/>
    </row>
    <row r="90" spans="1:26">
      <c r="A90" s="36"/>
      <c r="B90" s="133"/>
      <c r="C90" s="133"/>
      <c r="D90" s="1" t="str">
        <f t="shared" si="3"/>
        <v xml:space="preserve"> </v>
      </c>
      <c r="E90" s="29"/>
      <c r="F90" s="29"/>
      <c r="G90" s="29"/>
      <c r="H90" s="193"/>
      <c r="I90" s="131"/>
      <c r="J90" s="100" t="str">
        <f>IF(FacingSheet!$B$11=10,IF(ISERROR(((((H90*1440)-20)*60)-(((H90*1440)-20)^1.6)*2.5)/86400),"",((((H90*1440)-20)*60)-(((H90*1440)-20)^1.6)*2.5)/86400),"")</f>
        <v/>
      </c>
      <c r="K90" s="100" t="str">
        <f>IF(FacingSheet!$B$11=15,IF(ISERROR(((((H90*1440)-33)*60)-(((H90*1440)-33)^1.6)*1.667)/86400),"",((((H90*1440)-33)*60)-(((H90*1440)-33)^1.6)*1.667)/86400),"")</f>
        <v/>
      </c>
      <c r="L90" s="100" t="str">
        <f>IF(FacingSheet!$B$11=25,IF(ISERROR(((((H90*1440)-50)*60)-(((H90*1440)-50)^1.6))/86400),"",((((H90*1440)-50)*60)-(((H90*1440)-50)^1.6))/86400),"")</f>
        <v/>
      </c>
      <c r="M90" s="100" t="str">
        <f>IF(FacingSheet!$B$11=30,IF(ISERROR(((((H90*1440)-60)*60)-((((H90*1440)-60)^1.6))/1.2)/86400),"",((((H90*1440)-60)*60)-((((H90*1440)-60)^1.6))/1.2)/86400),"")</f>
        <v/>
      </c>
      <c r="N90" s="100" t="str">
        <f>IF(FacingSheet!$B$11=50,IF(ISERROR(((((H90*1440)-105)*60)-((((H90*1440)-105)^1.6))/2)/86400),"",((((H90*1440)-105)*60)-((((H90*1440)-105)^1.6))/2)/86400),"")</f>
        <v/>
      </c>
      <c r="O90" s="100" t="str">
        <f>IF(FacingSheet!$B$11=100,IF(ISERROR(((((H90*1440)-230)*60)-((((H90*1440)-230)^1.6))/4)/86400),"",((((H90*1440)-230)*60)-((((H90*1440)-230)^1.6))/4)/86400),"")</f>
        <v/>
      </c>
      <c r="P90" s="108" t="str">
        <f>IF(FacingSheet!$B$11=10,J90,IF(FacingSheet!$B$11=15,K90,IF(FacingSheet!$B$11=25,L90,IF(FacingSheet!$B$11=30,M90,IF(FacingSheet!$B$11=50,N90,IF(FacingSheet!$B$11=100,O90,""))))))</f>
        <v/>
      </c>
      <c r="Q90" s="65" t="str">
        <f>IF(OR(F90="V",F90="FV"),IF(I90="","",IF(MONTH(FacingSheet!$S$9)&gt;MONTH(I90),YEAR(FacingSheet!$S$9)-YEAR(I90),IF(AND(MONTH(FacingSheet!$S$9)=MONTH(I90),DAY(FacingSheet!$S$9)&gt;=DAY(I90)),YEAR(FacingSheet!$S$9)-YEAR(I90),(YEAR(FacingSheet!$S$9)-YEAR(I90))-1))),"")</f>
        <v/>
      </c>
      <c r="R90" s="108" t="str">
        <f>IF(Q90="","",IF(FacingSheet!$B$11=10,VLOOKUP(Q90,Age,2,FALSE),IF(FacingSheet!$B$11=15,VLOOKUP(Q90,Age,3,FALSE),IF(FacingSheet!$B$11=25,VLOOKUP(Q90,Age,4,FALSE),IF(FacingSheet!$B$11=30,VLOOKUP(Q90,Age,5,FALSE),IF(FacingSheet!$B$11=50,VLOOKUP(Q90,Age,6,FALSE),IF(FacingSheet!$B$11=100,VLOOKUP(Q90,Age,7,FALSE),"")))))))</f>
        <v/>
      </c>
      <c r="S90" s="108" t="str">
        <f>IF(Q90="","",IF(FacingSheet!$B$11=10,VLOOKUP(Q90,AgeF,2,FALSE),IF(FacingSheet!$B$11=15,VLOOKUP(Q90,AgeF,3,FALSE),IF(FacingSheet!$B$11=25,VLOOKUP(Q90,AgeF,4,FALSE),IF(FacingSheet!$B$11=30,VLOOKUP(Q90,AgeF,5,FALSE),IF(FacingSheet!$B$11=50,VLOOKUP(Q90,AgeF,6,FALSE),IF(FacingSheet!$B$11=100,VLOOKUP(Q90,AgeF,7,FALSE),"")))))))</f>
        <v/>
      </c>
      <c r="T90" s="108" t="str">
        <f t="shared" si="2"/>
        <v/>
      </c>
      <c r="U90" s="29"/>
      <c r="V90" s="29"/>
      <c r="W90" s="29"/>
      <c r="X90" s="132"/>
      <c r="Y90" s="132"/>
      <c r="Z90" s="132"/>
    </row>
    <row r="91" spans="1:26">
      <c r="A91" s="36"/>
      <c r="B91" s="133"/>
      <c r="C91" s="133"/>
      <c r="D91" s="1" t="str">
        <f t="shared" si="3"/>
        <v xml:space="preserve"> </v>
      </c>
      <c r="E91" s="29"/>
      <c r="F91" s="29"/>
      <c r="G91" s="29"/>
      <c r="H91" s="193"/>
      <c r="I91" s="131"/>
      <c r="J91" s="100" t="str">
        <f>IF(FacingSheet!$B$11=10,IF(ISERROR(((((H91*1440)-20)*60)-(((H91*1440)-20)^1.6)*2.5)/86400),"",((((H91*1440)-20)*60)-(((H91*1440)-20)^1.6)*2.5)/86400),"")</f>
        <v/>
      </c>
      <c r="K91" s="100" t="str">
        <f>IF(FacingSheet!$B$11=15,IF(ISERROR(((((H91*1440)-33)*60)-(((H91*1440)-33)^1.6)*1.667)/86400),"",((((H91*1440)-33)*60)-(((H91*1440)-33)^1.6)*1.667)/86400),"")</f>
        <v/>
      </c>
      <c r="L91" s="100" t="str">
        <f>IF(FacingSheet!$B$11=25,IF(ISERROR(((((H91*1440)-50)*60)-(((H91*1440)-50)^1.6))/86400),"",((((H91*1440)-50)*60)-(((H91*1440)-50)^1.6))/86400),"")</f>
        <v/>
      </c>
      <c r="M91" s="100" t="str">
        <f>IF(FacingSheet!$B$11=30,IF(ISERROR(((((H91*1440)-60)*60)-((((H91*1440)-60)^1.6))/1.2)/86400),"",((((H91*1440)-60)*60)-((((H91*1440)-60)^1.6))/1.2)/86400),"")</f>
        <v/>
      </c>
      <c r="N91" s="100" t="str">
        <f>IF(FacingSheet!$B$11=50,IF(ISERROR(((((H91*1440)-105)*60)-((((H91*1440)-105)^1.6))/2)/86400),"",((((H91*1440)-105)*60)-((((H91*1440)-105)^1.6))/2)/86400),"")</f>
        <v/>
      </c>
      <c r="O91" s="100" t="str">
        <f>IF(FacingSheet!$B$11=100,IF(ISERROR(((((H91*1440)-230)*60)-((((H91*1440)-230)^1.6))/4)/86400),"",((((H91*1440)-230)*60)-((((H91*1440)-230)^1.6))/4)/86400),"")</f>
        <v/>
      </c>
      <c r="P91" s="108" t="str">
        <f>IF(FacingSheet!$B$11=10,J91,IF(FacingSheet!$B$11=15,K91,IF(FacingSheet!$B$11=25,L91,IF(FacingSheet!$B$11=30,M91,IF(FacingSheet!$B$11=50,N91,IF(FacingSheet!$B$11=100,O91,""))))))</f>
        <v/>
      </c>
      <c r="Q91" s="65" t="str">
        <f>IF(OR(F91="V",F91="FV"),IF(I91="","",IF(MONTH(FacingSheet!$S$9)&gt;MONTH(I91),YEAR(FacingSheet!$S$9)-YEAR(I91),IF(AND(MONTH(FacingSheet!$S$9)=MONTH(I91),DAY(FacingSheet!$S$9)&gt;=DAY(I91)),YEAR(FacingSheet!$S$9)-YEAR(I91),(YEAR(FacingSheet!$S$9)-YEAR(I91))-1))),"")</f>
        <v/>
      </c>
      <c r="R91" s="108" t="str">
        <f>IF(Q91="","",IF(FacingSheet!$B$11=10,VLOOKUP(Q91,Age,2,FALSE),IF(FacingSheet!$B$11=15,VLOOKUP(Q91,Age,3,FALSE),IF(FacingSheet!$B$11=25,VLOOKUP(Q91,Age,4,FALSE),IF(FacingSheet!$B$11=30,VLOOKUP(Q91,Age,5,FALSE),IF(FacingSheet!$B$11=50,VLOOKUP(Q91,Age,6,FALSE),IF(FacingSheet!$B$11=100,VLOOKUP(Q91,Age,7,FALSE),"")))))))</f>
        <v/>
      </c>
      <c r="S91" s="108" t="str">
        <f>IF(Q91="","",IF(FacingSheet!$B$11=10,VLOOKUP(Q91,AgeF,2,FALSE),IF(FacingSheet!$B$11=15,VLOOKUP(Q91,AgeF,3,FALSE),IF(FacingSheet!$B$11=25,VLOOKUP(Q91,AgeF,4,FALSE),IF(FacingSheet!$B$11=30,VLOOKUP(Q91,AgeF,5,FALSE),IF(FacingSheet!$B$11=50,VLOOKUP(Q91,AgeF,6,FALSE),IF(FacingSheet!$B$11=100,VLOOKUP(Q91,AgeF,7,FALSE),"")))))))</f>
        <v/>
      </c>
      <c r="T91" s="108" t="str">
        <f t="shared" si="2"/>
        <v/>
      </c>
      <c r="U91" s="29"/>
      <c r="V91" s="29"/>
      <c r="W91" s="29"/>
      <c r="X91" s="132"/>
      <c r="Y91" s="132"/>
      <c r="Z91" s="132"/>
    </row>
    <row r="92" spans="1:26">
      <c r="A92" s="36"/>
      <c r="B92" s="133"/>
      <c r="C92" s="133"/>
      <c r="D92" s="106" t="str">
        <f t="shared" si="3"/>
        <v xml:space="preserve"> </v>
      </c>
      <c r="E92" s="29"/>
      <c r="F92" s="29"/>
      <c r="G92" s="29"/>
      <c r="H92" s="193"/>
      <c r="I92" s="131"/>
      <c r="J92" s="100" t="str">
        <f>IF(FacingSheet!$B$11=10,IF(ISERROR(((((H92*1440)-20)*60)-(((H92*1440)-20)^1.6)*2.5)/86400),"",((((H92*1440)-20)*60)-(((H92*1440)-20)^1.6)*2.5)/86400),"")</f>
        <v/>
      </c>
      <c r="K92" s="100" t="str">
        <f>IF(FacingSheet!$B$11=15,IF(ISERROR(((((H92*1440)-33)*60)-(((H92*1440)-33)^1.6)*1.667)/86400),"",((((H92*1440)-33)*60)-(((H92*1440)-33)^1.6)*1.667)/86400),"")</f>
        <v/>
      </c>
      <c r="L92" s="100" t="str">
        <f>IF(FacingSheet!$B$11=25,IF(ISERROR(((((H92*1440)-50)*60)-(((H92*1440)-50)^1.6))/86400),"",((((H92*1440)-50)*60)-(((H92*1440)-50)^1.6))/86400),"")</f>
        <v/>
      </c>
      <c r="M92" s="100" t="str">
        <f>IF(FacingSheet!$B$11=30,IF(ISERROR(((((H92*1440)-60)*60)-((((H92*1440)-60)^1.6))/1.2)/86400),"",((((H92*1440)-60)*60)-((((H92*1440)-60)^1.6))/1.2)/86400),"")</f>
        <v/>
      </c>
      <c r="N92" s="100" t="str">
        <f>IF(FacingSheet!$B$11=50,IF(ISERROR(((((H92*1440)-105)*60)-((((H92*1440)-105)^1.6))/2)/86400),"",((((H92*1440)-105)*60)-((((H92*1440)-105)^1.6))/2)/86400),"")</f>
        <v/>
      </c>
      <c r="O92" s="100" t="str">
        <f>IF(FacingSheet!$B$11=100,IF(ISERROR(((((H92*1440)-230)*60)-((((H92*1440)-230)^1.6))/4)/86400),"",((((H92*1440)-230)*60)-((((H92*1440)-230)^1.6))/4)/86400),"")</f>
        <v/>
      </c>
      <c r="P92" s="108" t="str">
        <f>IF(FacingSheet!$B$11=10,J92,IF(FacingSheet!$B$11=15,K92,IF(FacingSheet!$B$11=25,L92,IF(FacingSheet!$B$11=30,M92,IF(FacingSheet!$B$11=50,N92,IF(FacingSheet!$B$11=100,O92,""))))))</f>
        <v/>
      </c>
      <c r="Q92" s="65" t="str">
        <f>IF(OR(F92="V",F92="FV"),IF(I92="","",IF(MONTH(FacingSheet!$S$9)&gt;MONTH(I92),YEAR(FacingSheet!$S$9)-YEAR(I92),IF(AND(MONTH(FacingSheet!$S$9)=MONTH(I92),DAY(FacingSheet!$S$9)&gt;=DAY(I92)),YEAR(FacingSheet!$S$9)-YEAR(I92),(YEAR(FacingSheet!$S$9)-YEAR(I92))-1))),"")</f>
        <v/>
      </c>
      <c r="R92" s="108" t="str">
        <f>IF(Q92="","",IF(FacingSheet!$B$11=10,VLOOKUP(Q92,Age,2,FALSE),IF(FacingSheet!$B$11=15,VLOOKUP(Q92,Age,3,FALSE),IF(FacingSheet!$B$11=25,VLOOKUP(Q92,Age,4,FALSE),IF(FacingSheet!$B$11=30,VLOOKUP(Q92,Age,5,FALSE),IF(FacingSheet!$B$11=50,VLOOKUP(Q92,Age,6,FALSE),IF(FacingSheet!$B$11=100,VLOOKUP(Q92,Age,7,FALSE),"")))))))</f>
        <v/>
      </c>
      <c r="S92" s="108" t="str">
        <f>IF(Q92="","",IF(FacingSheet!$B$11=10,VLOOKUP(Q92,AgeF,2,FALSE),IF(FacingSheet!$B$11=15,VLOOKUP(Q92,AgeF,3,FALSE),IF(FacingSheet!$B$11=25,VLOOKUP(Q92,AgeF,4,FALSE),IF(FacingSheet!$B$11=30,VLOOKUP(Q92,AgeF,5,FALSE),IF(FacingSheet!$B$11=50,VLOOKUP(Q92,AgeF,6,FALSE),IF(FacingSheet!$B$11=100,VLOOKUP(Q92,AgeF,7,FALSE),"")))))))</f>
        <v/>
      </c>
      <c r="T92" s="108" t="str">
        <f t="shared" si="2"/>
        <v/>
      </c>
      <c r="U92" s="29"/>
      <c r="V92" s="29"/>
      <c r="W92" s="29"/>
      <c r="X92" s="132"/>
      <c r="Y92" s="132"/>
      <c r="Z92" s="132"/>
    </row>
    <row r="93" spans="1:26">
      <c r="A93" s="36"/>
      <c r="B93" s="133"/>
      <c r="C93" s="133"/>
      <c r="D93" s="106" t="str">
        <f t="shared" si="3"/>
        <v xml:space="preserve"> </v>
      </c>
      <c r="E93" s="29"/>
      <c r="F93" s="29"/>
      <c r="G93" s="29"/>
      <c r="H93" s="193"/>
      <c r="I93" s="131"/>
      <c r="J93" s="100" t="str">
        <f>IF(FacingSheet!$B$11=10,IF(ISERROR(((((H93*1440)-20)*60)-(((H93*1440)-20)^1.6)*2.5)/86400),"",((((H93*1440)-20)*60)-(((H93*1440)-20)^1.6)*2.5)/86400),"")</f>
        <v/>
      </c>
      <c r="K93" s="100" t="str">
        <f>IF(FacingSheet!$B$11=15,IF(ISERROR(((((H93*1440)-33)*60)-(((H93*1440)-33)^1.6)*1.667)/86400),"",((((H93*1440)-33)*60)-(((H93*1440)-33)^1.6)*1.667)/86400),"")</f>
        <v/>
      </c>
      <c r="L93" s="100" t="str">
        <f>IF(FacingSheet!$B$11=25,IF(ISERROR(((((H93*1440)-50)*60)-(((H93*1440)-50)^1.6))/86400),"",((((H93*1440)-50)*60)-(((H93*1440)-50)^1.6))/86400),"")</f>
        <v/>
      </c>
      <c r="M93" s="100" t="str">
        <f>IF(FacingSheet!$B$11=30,IF(ISERROR(((((H93*1440)-60)*60)-((((H93*1440)-60)^1.6))/1.2)/86400),"",((((H93*1440)-60)*60)-((((H93*1440)-60)^1.6))/1.2)/86400),"")</f>
        <v/>
      </c>
      <c r="N93" s="100" t="str">
        <f>IF(FacingSheet!$B$11=50,IF(ISERROR(((((H93*1440)-105)*60)-((((H93*1440)-105)^1.6))/2)/86400),"",((((H93*1440)-105)*60)-((((H93*1440)-105)^1.6))/2)/86400),"")</f>
        <v/>
      </c>
      <c r="O93" s="100" t="str">
        <f>IF(FacingSheet!$B$11=100,IF(ISERROR(((((H93*1440)-230)*60)-((((H93*1440)-230)^1.6))/4)/86400),"",((((H93*1440)-230)*60)-((((H93*1440)-230)^1.6))/4)/86400),"")</f>
        <v/>
      </c>
      <c r="P93" s="108" t="str">
        <f>IF(FacingSheet!$B$11=10,J93,IF(FacingSheet!$B$11=15,K93,IF(FacingSheet!$B$11=25,L93,IF(FacingSheet!$B$11=30,M93,IF(FacingSheet!$B$11=50,N93,IF(FacingSheet!$B$11=100,O93,""))))))</f>
        <v/>
      </c>
      <c r="Q93" s="65" t="str">
        <f>IF(OR(F93="V",F93="FV"),IF(I93="","",IF(MONTH(FacingSheet!$S$9)&gt;MONTH(I93),YEAR(FacingSheet!$S$9)-YEAR(I93),IF(AND(MONTH(FacingSheet!$S$9)=MONTH(I93),DAY(FacingSheet!$S$9)&gt;=DAY(I93)),YEAR(FacingSheet!$S$9)-YEAR(I93),(YEAR(FacingSheet!$S$9)-YEAR(I93))-1))),"")</f>
        <v/>
      </c>
      <c r="R93" s="108" t="str">
        <f>IF(Q93="","",IF(FacingSheet!$B$11=10,VLOOKUP(Q93,Age,2,FALSE),IF(FacingSheet!$B$11=15,VLOOKUP(Q93,Age,3,FALSE),IF(FacingSheet!$B$11=25,VLOOKUP(Q93,Age,4,FALSE),IF(FacingSheet!$B$11=30,VLOOKUP(Q93,Age,5,FALSE),IF(FacingSheet!$B$11=50,VLOOKUP(Q93,Age,6,FALSE),IF(FacingSheet!$B$11=100,VLOOKUP(Q93,Age,7,FALSE),"")))))))</f>
        <v/>
      </c>
      <c r="S93" s="108" t="str">
        <f>IF(Q93="","",IF(FacingSheet!$B$11=10,VLOOKUP(Q93,AgeF,2,FALSE),IF(FacingSheet!$B$11=15,VLOOKUP(Q93,AgeF,3,FALSE),IF(FacingSheet!$B$11=25,VLOOKUP(Q93,AgeF,4,FALSE),IF(FacingSheet!$B$11=30,VLOOKUP(Q93,AgeF,5,FALSE),IF(FacingSheet!$B$11=50,VLOOKUP(Q93,AgeF,6,FALSE),IF(FacingSheet!$B$11=100,VLOOKUP(Q93,AgeF,7,FALSE),"")))))))</f>
        <v/>
      </c>
      <c r="T93" s="108" t="str">
        <f t="shared" si="2"/>
        <v/>
      </c>
      <c r="U93" s="29"/>
      <c r="V93" s="29"/>
      <c r="W93" s="29"/>
      <c r="X93" s="132"/>
      <c r="Y93" s="132"/>
      <c r="Z93" s="132"/>
    </row>
    <row r="94" spans="1:26">
      <c r="A94" s="36"/>
      <c r="B94" s="133"/>
      <c r="C94" s="133"/>
      <c r="D94" s="106" t="str">
        <f t="shared" si="3"/>
        <v xml:space="preserve"> </v>
      </c>
      <c r="E94" s="29"/>
      <c r="F94" s="29"/>
      <c r="G94" s="29"/>
      <c r="H94" s="193"/>
      <c r="I94" s="131"/>
      <c r="J94" s="100" t="str">
        <f>IF(FacingSheet!$B$11=10,IF(ISERROR(((((H94*1440)-20)*60)-(((H94*1440)-20)^1.6)*2.5)/86400),"",((((H94*1440)-20)*60)-(((H94*1440)-20)^1.6)*2.5)/86400),"")</f>
        <v/>
      </c>
      <c r="K94" s="100" t="str">
        <f>IF(FacingSheet!$B$11=15,IF(ISERROR(((((H94*1440)-33)*60)-(((H94*1440)-33)^1.6)*1.667)/86400),"",((((H94*1440)-33)*60)-(((H94*1440)-33)^1.6)*1.667)/86400),"")</f>
        <v/>
      </c>
      <c r="L94" s="100" t="str">
        <f>IF(FacingSheet!$B$11=25,IF(ISERROR(((((H94*1440)-50)*60)-(((H94*1440)-50)^1.6))/86400),"",((((H94*1440)-50)*60)-(((H94*1440)-50)^1.6))/86400),"")</f>
        <v/>
      </c>
      <c r="M94" s="100" t="str">
        <f>IF(FacingSheet!$B$11=30,IF(ISERROR(((((H94*1440)-60)*60)-((((H94*1440)-60)^1.6))/1.2)/86400),"",((((H94*1440)-60)*60)-((((H94*1440)-60)^1.6))/1.2)/86400),"")</f>
        <v/>
      </c>
      <c r="N94" s="100" t="str">
        <f>IF(FacingSheet!$B$11=50,IF(ISERROR(((((H94*1440)-105)*60)-((((H94*1440)-105)^1.6))/2)/86400),"",((((H94*1440)-105)*60)-((((H94*1440)-105)^1.6))/2)/86400),"")</f>
        <v/>
      </c>
      <c r="O94" s="100" t="str">
        <f>IF(FacingSheet!$B$11=100,IF(ISERROR(((((H94*1440)-230)*60)-((((H94*1440)-230)^1.6))/4)/86400),"",((((H94*1440)-230)*60)-((((H94*1440)-230)^1.6))/4)/86400),"")</f>
        <v/>
      </c>
      <c r="P94" s="108" t="str">
        <f>IF(FacingSheet!$B$11=10,J94,IF(FacingSheet!$B$11=15,K94,IF(FacingSheet!$B$11=25,L94,IF(FacingSheet!$B$11=30,M94,IF(FacingSheet!$B$11=50,N94,IF(FacingSheet!$B$11=100,O94,""))))))</f>
        <v/>
      </c>
      <c r="Q94" s="65" t="str">
        <f>IF(OR(F94="V",F94="FV"),IF(I94="","",IF(MONTH(FacingSheet!$S$9)&gt;MONTH(I94),YEAR(FacingSheet!$S$9)-YEAR(I94),IF(AND(MONTH(FacingSheet!$S$9)=MONTH(I94),DAY(FacingSheet!$S$9)&gt;=DAY(I94)),YEAR(FacingSheet!$S$9)-YEAR(I94),(YEAR(FacingSheet!$S$9)-YEAR(I94))-1))),"")</f>
        <v/>
      </c>
      <c r="R94" s="108" t="str">
        <f>IF(Q94="","",IF(FacingSheet!$B$11=10,VLOOKUP(Q94,Age,2,FALSE),IF(FacingSheet!$B$11=15,VLOOKUP(Q94,Age,3,FALSE),IF(FacingSheet!$B$11=25,VLOOKUP(Q94,Age,4,FALSE),IF(FacingSheet!$B$11=30,VLOOKUP(Q94,Age,5,FALSE),IF(FacingSheet!$B$11=50,VLOOKUP(Q94,Age,6,FALSE),IF(FacingSheet!$B$11=100,VLOOKUP(Q94,Age,7,FALSE),"")))))))</f>
        <v/>
      </c>
      <c r="S94" s="108" t="str">
        <f>IF(Q94="","",IF(FacingSheet!$B$11=10,VLOOKUP(Q94,AgeF,2,FALSE),IF(FacingSheet!$B$11=15,VLOOKUP(Q94,AgeF,3,FALSE),IF(FacingSheet!$B$11=25,VLOOKUP(Q94,AgeF,4,FALSE),IF(FacingSheet!$B$11=30,VLOOKUP(Q94,AgeF,5,FALSE),IF(FacingSheet!$B$11=50,VLOOKUP(Q94,AgeF,6,FALSE),IF(FacingSheet!$B$11=100,VLOOKUP(Q94,AgeF,7,FALSE),"")))))))</f>
        <v/>
      </c>
      <c r="T94" s="108" t="str">
        <f t="shared" si="2"/>
        <v/>
      </c>
      <c r="U94" s="29"/>
      <c r="V94" s="29"/>
      <c r="W94" s="29"/>
      <c r="X94" s="132"/>
      <c r="Y94" s="132"/>
      <c r="Z94" s="132"/>
    </row>
    <row r="95" spans="1:26">
      <c r="A95" s="36"/>
      <c r="B95" s="133"/>
      <c r="C95" s="133"/>
      <c r="D95" s="106" t="str">
        <f t="shared" si="3"/>
        <v xml:space="preserve"> </v>
      </c>
      <c r="E95" s="29"/>
      <c r="F95" s="29"/>
      <c r="G95" s="29"/>
      <c r="H95" s="193"/>
      <c r="I95" s="131"/>
      <c r="J95" s="100" t="str">
        <f>IF(FacingSheet!$B$11=10,IF(ISERROR(((((H95*1440)-20)*60)-(((H95*1440)-20)^1.6)*2.5)/86400),"",((((H95*1440)-20)*60)-(((H95*1440)-20)^1.6)*2.5)/86400),"")</f>
        <v/>
      </c>
      <c r="K95" s="100" t="str">
        <f>IF(FacingSheet!$B$11=15,IF(ISERROR(((((H95*1440)-33)*60)-(((H95*1440)-33)^1.6)*1.667)/86400),"",((((H95*1440)-33)*60)-(((H95*1440)-33)^1.6)*1.667)/86400),"")</f>
        <v/>
      </c>
      <c r="L95" s="100" t="str">
        <f>IF(FacingSheet!$B$11=25,IF(ISERROR(((((H95*1440)-50)*60)-(((H95*1440)-50)^1.6))/86400),"",((((H95*1440)-50)*60)-(((H95*1440)-50)^1.6))/86400),"")</f>
        <v/>
      </c>
      <c r="M95" s="100" t="str">
        <f>IF(FacingSheet!$B$11=30,IF(ISERROR(((((H95*1440)-60)*60)-((((H95*1440)-60)^1.6))/1.2)/86400),"",((((H95*1440)-60)*60)-((((H95*1440)-60)^1.6))/1.2)/86400),"")</f>
        <v/>
      </c>
      <c r="N95" s="100" t="str">
        <f>IF(FacingSheet!$B$11=50,IF(ISERROR(((((H95*1440)-105)*60)-((((H95*1440)-105)^1.6))/2)/86400),"",((((H95*1440)-105)*60)-((((H95*1440)-105)^1.6))/2)/86400),"")</f>
        <v/>
      </c>
      <c r="O95" s="100" t="str">
        <f>IF(FacingSheet!$B$11=100,IF(ISERROR(((((H95*1440)-230)*60)-((((H95*1440)-230)^1.6))/4)/86400),"",((((H95*1440)-230)*60)-((((H95*1440)-230)^1.6))/4)/86400),"")</f>
        <v/>
      </c>
      <c r="P95" s="108" t="str">
        <f>IF(FacingSheet!$B$11=10,J95,IF(FacingSheet!$B$11=15,K95,IF(FacingSheet!$B$11=25,L95,IF(FacingSheet!$B$11=30,M95,IF(FacingSheet!$B$11=50,N95,IF(FacingSheet!$B$11=100,O95,""))))))</f>
        <v/>
      </c>
      <c r="Q95" s="65" t="str">
        <f>IF(OR(F95="V",F95="FV"),IF(I95="","",IF(MONTH(FacingSheet!$S$9)&gt;MONTH(I95),YEAR(FacingSheet!$S$9)-YEAR(I95),IF(AND(MONTH(FacingSheet!$S$9)=MONTH(I95),DAY(FacingSheet!$S$9)&gt;=DAY(I95)),YEAR(FacingSheet!$S$9)-YEAR(I95),(YEAR(FacingSheet!$S$9)-YEAR(I95))-1))),"")</f>
        <v/>
      </c>
      <c r="R95" s="108" t="str">
        <f>IF(Q95="","",IF(FacingSheet!$B$11=10,VLOOKUP(Q95,Age,2,FALSE),IF(FacingSheet!$B$11=15,VLOOKUP(Q95,Age,3,FALSE),IF(FacingSheet!$B$11=25,VLOOKUP(Q95,Age,4,FALSE),IF(FacingSheet!$B$11=30,VLOOKUP(Q95,Age,5,FALSE),IF(FacingSheet!$B$11=50,VLOOKUP(Q95,Age,6,FALSE),IF(FacingSheet!$B$11=100,VLOOKUP(Q95,Age,7,FALSE),"")))))))</f>
        <v/>
      </c>
      <c r="S95" s="108" t="str">
        <f>IF(Q95="","",IF(FacingSheet!$B$11=10,VLOOKUP(Q95,AgeF,2,FALSE),IF(FacingSheet!$B$11=15,VLOOKUP(Q95,AgeF,3,FALSE),IF(FacingSheet!$B$11=25,VLOOKUP(Q95,AgeF,4,FALSE),IF(FacingSheet!$B$11=30,VLOOKUP(Q95,AgeF,5,FALSE),IF(FacingSheet!$B$11=50,VLOOKUP(Q95,AgeF,6,FALSE),IF(FacingSheet!$B$11=100,VLOOKUP(Q95,AgeF,7,FALSE),"")))))))</f>
        <v/>
      </c>
      <c r="T95" s="108" t="str">
        <f t="shared" ref="T95:T158" si="4">IF(F95="V",R95,IF(F95="FV",S95,""))</f>
        <v/>
      </c>
      <c r="U95" s="29"/>
      <c r="V95" s="29"/>
      <c r="W95" s="29"/>
      <c r="X95" s="132"/>
      <c r="Y95" s="132"/>
      <c r="Z95" s="132"/>
    </row>
    <row r="96" spans="1:26">
      <c r="A96" s="36"/>
      <c r="B96" s="133"/>
      <c r="C96" s="133"/>
      <c r="D96" s="106" t="str">
        <f t="shared" si="3"/>
        <v xml:space="preserve"> </v>
      </c>
      <c r="E96" s="29"/>
      <c r="F96" s="29"/>
      <c r="G96" s="29"/>
      <c r="H96" s="193"/>
      <c r="I96" s="131"/>
      <c r="J96" s="100" t="str">
        <f>IF(FacingSheet!$B$11=10,IF(ISERROR(((((H96*1440)-20)*60)-(((H96*1440)-20)^1.6)*2.5)/86400),"",((((H96*1440)-20)*60)-(((H96*1440)-20)^1.6)*2.5)/86400),"")</f>
        <v/>
      </c>
      <c r="K96" s="100" t="str">
        <f>IF(FacingSheet!$B$11=15,IF(ISERROR(((((H96*1440)-33)*60)-(((H96*1440)-33)^1.6)*1.667)/86400),"",((((H96*1440)-33)*60)-(((H96*1440)-33)^1.6)*1.667)/86400),"")</f>
        <v/>
      </c>
      <c r="L96" s="100" t="str">
        <f>IF(FacingSheet!$B$11=25,IF(ISERROR(((((H96*1440)-50)*60)-(((H96*1440)-50)^1.6))/86400),"",((((H96*1440)-50)*60)-(((H96*1440)-50)^1.6))/86400),"")</f>
        <v/>
      </c>
      <c r="M96" s="100" t="str">
        <f>IF(FacingSheet!$B$11=30,IF(ISERROR(((((H96*1440)-60)*60)-((((H96*1440)-60)^1.6))/1.2)/86400),"",((((H96*1440)-60)*60)-((((H96*1440)-60)^1.6))/1.2)/86400),"")</f>
        <v/>
      </c>
      <c r="N96" s="100" t="str">
        <f>IF(FacingSheet!$B$11=50,IF(ISERROR(((((H96*1440)-105)*60)-((((H96*1440)-105)^1.6))/2)/86400),"",((((H96*1440)-105)*60)-((((H96*1440)-105)^1.6))/2)/86400),"")</f>
        <v/>
      </c>
      <c r="O96" s="100" t="str">
        <f>IF(FacingSheet!$B$11=100,IF(ISERROR(((((H96*1440)-230)*60)-((((H96*1440)-230)^1.6))/4)/86400),"",((((H96*1440)-230)*60)-((((H96*1440)-230)^1.6))/4)/86400),"")</f>
        <v/>
      </c>
      <c r="P96" s="108" t="str">
        <f>IF(FacingSheet!$B$11=10,J96,IF(FacingSheet!$B$11=15,K96,IF(FacingSheet!$B$11=25,L96,IF(FacingSheet!$B$11=30,M96,IF(FacingSheet!$B$11=50,N96,IF(FacingSheet!$B$11=100,O96,""))))))</f>
        <v/>
      </c>
      <c r="Q96" s="65" t="str">
        <f>IF(OR(F96="V",F96="FV"),IF(I96="","",IF(MONTH(FacingSheet!$S$9)&gt;MONTH(I96),YEAR(FacingSheet!$S$9)-YEAR(I96),IF(AND(MONTH(FacingSheet!$S$9)=MONTH(I96),DAY(FacingSheet!$S$9)&gt;=DAY(I96)),YEAR(FacingSheet!$S$9)-YEAR(I96),(YEAR(FacingSheet!$S$9)-YEAR(I96))-1))),"")</f>
        <v/>
      </c>
      <c r="R96" s="108" t="str">
        <f>IF(Q96="","",IF(FacingSheet!$B$11=10,VLOOKUP(Q96,Age,2,FALSE),IF(FacingSheet!$B$11=15,VLOOKUP(Q96,Age,3,FALSE),IF(FacingSheet!$B$11=25,VLOOKUP(Q96,Age,4,FALSE),IF(FacingSheet!$B$11=30,VLOOKUP(Q96,Age,5,FALSE),IF(FacingSheet!$B$11=50,VLOOKUP(Q96,Age,6,FALSE),IF(FacingSheet!$B$11=100,VLOOKUP(Q96,Age,7,FALSE),"")))))))</f>
        <v/>
      </c>
      <c r="S96" s="108" t="str">
        <f>IF(Q96="","",IF(FacingSheet!$B$11=10,VLOOKUP(Q96,AgeF,2,FALSE),IF(FacingSheet!$B$11=15,VLOOKUP(Q96,AgeF,3,FALSE),IF(FacingSheet!$B$11=25,VLOOKUP(Q96,AgeF,4,FALSE),IF(FacingSheet!$B$11=30,VLOOKUP(Q96,AgeF,5,FALSE),IF(FacingSheet!$B$11=50,VLOOKUP(Q96,AgeF,6,FALSE),IF(FacingSheet!$B$11=100,VLOOKUP(Q96,AgeF,7,FALSE),"")))))))</f>
        <v/>
      </c>
      <c r="T96" s="108" t="str">
        <f t="shared" si="4"/>
        <v/>
      </c>
      <c r="U96" s="29"/>
      <c r="V96" s="29"/>
      <c r="W96" s="29"/>
      <c r="X96" s="132"/>
      <c r="Y96" s="132"/>
      <c r="Z96" s="132"/>
    </row>
    <row r="97" spans="1:26">
      <c r="A97" s="36"/>
      <c r="B97" s="133"/>
      <c r="C97" s="133"/>
      <c r="D97" s="106" t="str">
        <f t="shared" si="3"/>
        <v xml:space="preserve"> </v>
      </c>
      <c r="E97" s="29"/>
      <c r="F97" s="29"/>
      <c r="G97" s="29"/>
      <c r="H97" s="193"/>
      <c r="I97" s="131"/>
      <c r="J97" s="100" t="str">
        <f>IF(FacingSheet!$B$11=10,IF(ISERROR(((((H97*1440)-20)*60)-(((H97*1440)-20)^1.6)*2.5)/86400),"",((((H97*1440)-20)*60)-(((H97*1440)-20)^1.6)*2.5)/86400),"")</f>
        <v/>
      </c>
      <c r="K97" s="100" t="str">
        <f>IF(FacingSheet!$B$11=15,IF(ISERROR(((((H97*1440)-33)*60)-(((H97*1440)-33)^1.6)*1.667)/86400),"",((((H97*1440)-33)*60)-(((H97*1440)-33)^1.6)*1.667)/86400),"")</f>
        <v/>
      </c>
      <c r="L97" s="100" t="str">
        <f>IF(FacingSheet!$B$11=25,IF(ISERROR(((((H97*1440)-50)*60)-(((H97*1440)-50)^1.6))/86400),"",((((H97*1440)-50)*60)-(((H97*1440)-50)^1.6))/86400),"")</f>
        <v/>
      </c>
      <c r="M97" s="100" t="str">
        <f>IF(FacingSheet!$B$11=30,IF(ISERROR(((((H97*1440)-60)*60)-((((H97*1440)-60)^1.6))/1.2)/86400),"",((((H97*1440)-60)*60)-((((H97*1440)-60)^1.6))/1.2)/86400),"")</f>
        <v/>
      </c>
      <c r="N97" s="100" t="str">
        <f>IF(FacingSheet!$B$11=50,IF(ISERROR(((((H97*1440)-105)*60)-((((H97*1440)-105)^1.6))/2)/86400),"",((((H97*1440)-105)*60)-((((H97*1440)-105)^1.6))/2)/86400),"")</f>
        <v/>
      </c>
      <c r="O97" s="100" t="str">
        <f>IF(FacingSheet!$B$11=100,IF(ISERROR(((((H97*1440)-230)*60)-((((H97*1440)-230)^1.6))/4)/86400),"",((((H97*1440)-230)*60)-((((H97*1440)-230)^1.6))/4)/86400),"")</f>
        <v/>
      </c>
      <c r="P97" s="108" t="str">
        <f>IF(FacingSheet!$B$11=10,J97,IF(FacingSheet!$B$11=15,K97,IF(FacingSheet!$B$11=25,L97,IF(FacingSheet!$B$11=30,M97,IF(FacingSheet!$B$11=50,N97,IF(FacingSheet!$B$11=100,O97,""))))))</f>
        <v/>
      </c>
      <c r="Q97" s="65" t="str">
        <f>IF(OR(F97="V",F97="FV"),IF(I97="","",IF(MONTH(FacingSheet!$S$9)&gt;MONTH(I97),YEAR(FacingSheet!$S$9)-YEAR(I97),IF(AND(MONTH(FacingSheet!$S$9)=MONTH(I97),DAY(FacingSheet!$S$9)&gt;=DAY(I97)),YEAR(FacingSheet!$S$9)-YEAR(I97),(YEAR(FacingSheet!$S$9)-YEAR(I97))-1))),"")</f>
        <v/>
      </c>
      <c r="R97" s="108" t="str">
        <f>IF(Q97="","",IF(FacingSheet!$B$11=10,VLOOKUP(Q97,Age,2,FALSE),IF(FacingSheet!$B$11=15,VLOOKUP(Q97,Age,3,FALSE),IF(FacingSheet!$B$11=25,VLOOKUP(Q97,Age,4,FALSE),IF(FacingSheet!$B$11=30,VLOOKUP(Q97,Age,5,FALSE),IF(FacingSheet!$B$11=50,VLOOKUP(Q97,Age,6,FALSE),IF(FacingSheet!$B$11=100,VLOOKUP(Q97,Age,7,FALSE),"")))))))</f>
        <v/>
      </c>
      <c r="S97" s="108" t="str">
        <f>IF(Q97="","",IF(FacingSheet!$B$11=10,VLOOKUP(Q97,AgeF,2,FALSE),IF(FacingSheet!$B$11=15,VLOOKUP(Q97,AgeF,3,FALSE),IF(FacingSheet!$B$11=25,VLOOKUP(Q97,AgeF,4,FALSE),IF(FacingSheet!$B$11=30,VLOOKUP(Q97,AgeF,5,FALSE),IF(FacingSheet!$B$11=50,VLOOKUP(Q97,AgeF,6,FALSE),IF(FacingSheet!$B$11=100,VLOOKUP(Q97,AgeF,7,FALSE),"")))))))</f>
        <v/>
      </c>
      <c r="T97" s="108" t="str">
        <f t="shared" si="4"/>
        <v/>
      </c>
      <c r="U97" s="29"/>
      <c r="V97" s="29"/>
      <c r="W97" s="29"/>
      <c r="X97" s="132"/>
      <c r="Y97" s="132"/>
      <c r="Z97" s="132"/>
    </row>
    <row r="98" spans="1:26">
      <c r="A98" s="36"/>
      <c r="B98" s="133"/>
      <c r="C98" s="133"/>
      <c r="D98" s="106" t="str">
        <f t="shared" si="3"/>
        <v xml:space="preserve"> </v>
      </c>
      <c r="E98" s="29"/>
      <c r="F98" s="29"/>
      <c r="G98" s="29"/>
      <c r="H98" s="193"/>
      <c r="I98" s="131"/>
      <c r="J98" s="100" t="str">
        <f>IF(FacingSheet!$B$11=10,IF(ISERROR(((((H98*1440)-20)*60)-(((H98*1440)-20)^1.6)*2.5)/86400),"",((((H98*1440)-20)*60)-(((H98*1440)-20)^1.6)*2.5)/86400),"")</f>
        <v/>
      </c>
      <c r="K98" s="100" t="str">
        <f>IF(FacingSheet!$B$11=15,IF(ISERROR(((((H98*1440)-33)*60)-(((H98*1440)-33)^1.6)*1.667)/86400),"",((((H98*1440)-33)*60)-(((H98*1440)-33)^1.6)*1.667)/86400),"")</f>
        <v/>
      </c>
      <c r="L98" s="100" t="str">
        <f>IF(FacingSheet!$B$11=25,IF(ISERROR(((((H98*1440)-50)*60)-(((H98*1440)-50)^1.6))/86400),"",((((H98*1440)-50)*60)-(((H98*1440)-50)^1.6))/86400),"")</f>
        <v/>
      </c>
      <c r="M98" s="100" t="str">
        <f>IF(FacingSheet!$B$11=30,IF(ISERROR(((((H98*1440)-60)*60)-((((H98*1440)-60)^1.6))/1.2)/86400),"",((((H98*1440)-60)*60)-((((H98*1440)-60)^1.6))/1.2)/86400),"")</f>
        <v/>
      </c>
      <c r="N98" s="100" t="str">
        <f>IF(FacingSheet!$B$11=50,IF(ISERROR(((((H98*1440)-105)*60)-((((H98*1440)-105)^1.6))/2)/86400),"",((((H98*1440)-105)*60)-((((H98*1440)-105)^1.6))/2)/86400),"")</f>
        <v/>
      </c>
      <c r="O98" s="100" t="str">
        <f>IF(FacingSheet!$B$11=100,IF(ISERROR(((((H98*1440)-230)*60)-((((H98*1440)-230)^1.6))/4)/86400),"",((((H98*1440)-230)*60)-((((H98*1440)-230)^1.6))/4)/86400),"")</f>
        <v/>
      </c>
      <c r="P98" s="108" t="str">
        <f>IF(FacingSheet!$B$11=10,J98,IF(FacingSheet!$B$11=15,K98,IF(FacingSheet!$B$11=25,L98,IF(FacingSheet!$B$11=30,M98,IF(FacingSheet!$B$11=50,N98,IF(FacingSheet!$B$11=100,O98,""))))))</f>
        <v/>
      </c>
      <c r="Q98" s="65" t="str">
        <f>IF(OR(F98="V",F98="FV"),IF(I98="","",IF(MONTH(FacingSheet!$S$9)&gt;MONTH(I98),YEAR(FacingSheet!$S$9)-YEAR(I98),IF(AND(MONTH(FacingSheet!$S$9)=MONTH(I98),DAY(FacingSheet!$S$9)&gt;=DAY(I98)),YEAR(FacingSheet!$S$9)-YEAR(I98),(YEAR(FacingSheet!$S$9)-YEAR(I98))-1))),"")</f>
        <v/>
      </c>
      <c r="R98" s="108" t="str">
        <f>IF(Q98="","",IF(FacingSheet!$B$11=10,VLOOKUP(Q98,Age,2,FALSE),IF(FacingSheet!$B$11=15,VLOOKUP(Q98,Age,3,FALSE),IF(FacingSheet!$B$11=25,VLOOKUP(Q98,Age,4,FALSE),IF(FacingSheet!$B$11=30,VLOOKUP(Q98,Age,5,FALSE),IF(FacingSheet!$B$11=50,VLOOKUP(Q98,Age,6,FALSE),IF(FacingSheet!$B$11=100,VLOOKUP(Q98,Age,7,FALSE),"")))))))</f>
        <v/>
      </c>
      <c r="S98" s="108" t="str">
        <f>IF(Q98="","",IF(FacingSheet!$B$11=10,VLOOKUP(Q98,AgeF,2,FALSE),IF(FacingSheet!$B$11=15,VLOOKUP(Q98,AgeF,3,FALSE),IF(FacingSheet!$B$11=25,VLOOKUP(Q98,AgeF,4,FALSE),IF(FacingSheet!$B$11=30,VLOOKUP(Q98,AgeF,5,FALSE),IF(FacingSheet!$B$11=50,VLOOKUP(Q98,AgeF,6,FALSE),IF(FacingSheet!$B$11=100,VLOOKUP(Q98,AgeF,7,FALSE),"")))))))</f>
        <v/>
      </c>
      <c r="T98" s="108" t="str">
        <f t="shared" si="4"/>
        <v/>
      </c>
      <c r="U98" s="29"/>
      <c r="V98" s="29"/>
      <c r="W98" s="29"/>
      <c r="X98" s="132"/>
      <c r="Y98" s="132"/>
      <c r="Z98" s="132"/>
    </row>
    <row r="99" spans="1:26">
      <c r="A99" s="36"/>
      <c r="B99" s="133"/>
      <c r="C99" s="133"/>
      <c r="D99" s="106" t="str">
        <f t="shared" si="3"/>
        <v xml:space="preserve"> </v>
      </c>
      <c r="E99" s="29"/>
      <c r="F99" s="29"/>
      <c r="G99" s="29"/>
      <c r="H99" s="193"/>
      <c r="I99" s="131"/>
      <c r="J99" s="100" t="str">
        <f>IF(FacingSheet!$B$11=10,IF(ISERROR(((((H99*1440)-20)*60)-(((H99*1440)-20)^1.6)*2.5)/86400),"",((((H99*1440)-20)*60)-(((H99*1440)-20)^1.6)*2.5)/86400),"")</f>
        <v/>
      </c>
      <c r="K99" s="100" t="str">
        <f>IF(FacingSheet!$B$11=15,IF(ISERROR(((((H99*1440)-33)*60)-(((H99*1440)-33)^1.6)*1.667)/86400),"",((((H99*1440)-33)*60)-(((H99*1440)-33)^1.6)*1.667)/86400),"")</f>
        <v/>
      </c>
      <c r="L99" s="100" t="str">
        <f>IF(FacingSheet!$B$11=25,IF(ISERROR(((((H99*1440)-50)*60)-(((H99*1440)-50)^1.6))/86400),"",((((H99*1440)-50)*60)-(((H99*1440)-50)^1.6))/86400),"")</f>
        <v/>
      </c>
      <c r="M99" s="100" t="str">
        <f>IF(FacingSheet!$B$11=30,IF(ISERROR(((((H99*1440)-60)*60)-((((H99*1440)-60)^1.6))/1.2)/86400),"",((((H99*1440)-60)*60)-((((H99*1440)-60)^1.6))/1.2)/86400),"")</f>
        <v/>
      </c>
      <c r="N99" s="100" t="str">
        <f>IF(FacingSheet!$B$11=50,IF(ISERROR(((((H99*1440)-105)*60)-((((H99*1440)-105)^1.6))/2)/86400),"",((((H99*1440)-105)*60)-((((H99*1440)-105)^1.6))/2)/86400),"")</f>
        <v/>
      </c>
      <c r="O99" s="100" t="str">
        <f>IF(FacingSheet!$B$11=100,IF(ISERROR(((((H99*1440)-230)*60)-((((H99*1440)-230)^1.6))/4)/86400),"",((((H99*1440)-230)*60)-((((H99*1440)-230)^1.6))/4)/86400),"")</f>
        <v/>
      </c>
      <c r="P99" s="108" t="str">
        <f>IF(FacingSheet!$B$11=10,J99,IF(FacingSheet!$B$11=15,K99,IF(FacingSheet!$B$11=25,L99,IF(FacingSheet!$B$11=30,M99,IF(FacingSheet!$B$11=50,N99,IF(FacingSheet!$B$11=100,O99,""))))))</f>
        <v/>
      </c>
      <c r="Q99" s="65" t="str">
        <f>IF(OR(F99="V",F99="FV"),IF(I99="","",IF(MONTH(FacingSheet!$S$9)&gt;MONTH(I99),YEAR(FacingSheet!$S$9)-YEAR(I99),IF(AND(MONTH(FacingSheet!$S$9)=MONTH(I99),DAY(FacingSheet!$S$9)&gt;=DAY(I99)),YEAR(FacingSheet!$S$9)-YEAR(I99),(YEAR(FacingSheet!$S$9)-YEAR(I99))-1))),"")</f>
        <v/>
      </c>
      <c r="R99" s="108" t="str">
        <f>IF(Q99="","",IF(FacingSheet!$B$11=10,VLOOKUP(Q99,Age,2,FALSE),IF(FacingSheet!$B$11=15,VLOOKUP(Q99,Age,3,FALSE),IF(FacingSheet!$B$11=25,VLOOKUP(Q99,Age,4,FALSE),IF(FacingSheet!$B$11=30,VLOOKUP(Q99,Age,5,FALSE),IF(FacingSheet!$B$11=50,VLOOKUP(Q99,Age,6,FALSE),IF(FacingSheet!$B$11=100,VLOOKUP(Q99,Age,7,FALSE),"")))))))</f>
        <v/>
      </c>
      <c r="S99" s="108" t="str">
        <f>IF(Q99="","",IF(FacingSheet!$B$11=10,VLOOKUP(Q99,AgeF,2,FALSE),IF(FacingSheet!$B$11=15,VLOOKUP(Q99,AgeF,3,FALSE),IF(FacingSheet!$B$11=25,VLOOKUP(Q99,AgeF,4,FALSE),IF(FacingSheet!$B$11=30,VLOOKUP(Q99,AgeF,5,FALSE),IF(FacingSheet!$B$11=50,VLOOKUP(Q99,AgeF,6,FALSE),IF(FacingSheet!$B$11=100,VLOOKUP(Q99,AgeF,7,FALSE),"")))))))</f>
        <v/>
      </c>
      <c r="T99" s="108" t="str">
        <f t="shared" si="4"/>
        <v/>
      </c>
      <c r="U99" s="29"/>
      <c r="V99" s="29"/>
      <c r="W99" s="29"/>
      <c r="X99" s="132"/>
      <c r="Y99" s="132"/>
      <c r="Z99" s="132"/>
    </row>
    <row r="100" spans="1:26">
      <c r="A100" s="36"/>
      <c r="B100" s="133"/>
      <c r="C100" s="133"/>
      <c r="D100" s="106" t="str">
        <f t="shared" si="3"/>
        <v xml:space="preserve"> </v>
      </c>
      <c r="E100" s="29"/>
      <c r="F100" s="29"/>
      <c r="G100" s="29"/>
      <c r="H100" s="193"/>
      <c r="I100" s="131"/>
      <c r="J100" s="100" t="str">
        <f>IF(FacingSheet!$B$11=10,IF(ISERROR(((((H100*1440)-20)*60)-(((H100*1440)-20)^1.6)*2.5)/86400),"",((((H100*1440)-20)*60)-(((H100*1440)-20)^1.6)*2.5)/86400),"")</f>
        <v/>
      </c>
      <c r="K100" s="100" t="str">
        <f>IF(FacingSheet!$B$11=15,IF(ISERROR(((((H100*1440)-33)*60)-(((H100*1440)-33)^1.6)*1.667)/86400),"",((((H100*1440)-33)*60)-(((H100*1440)-33)^1.6)*1.667)/86400),"")</f>
        <v/>
      </c>
      <c r="L100" s="100" t="str">
        <f>IF(FacingSheet!$B$11=25,IF(ISERROR(((((H100*1440)-50)*60)-(((H100*1440)-50)^1.6))/86400),"",((((H100*1440)-50)*60)-(((H100*1440)-50)^1.6))/86400),"")</f>
        <v/>
      </c>
      <c r="M100" s="100" t="str">
        <f>IF(FacingSheet!$B$11=30,IF(ISERROR(((((H100*1440)-60)*60)-((((H100*1440)-60)^1.6))/1.2)/86400),"",((((H100*1440)-60)*60)-((((H100*1440)-60)^1.6))/1.2)/86400),"")</f>
        <v/>
      </c>
      <c r="N100" s="100" t="str">
        <f>IF(FacingSheet!$B$11=50,IF(ISERROR(((((H100*1440)-105)*60)-((((H100*1440)-105)^1.6))/2)/86400),"",((((H100*1440)-105)*60)-((((H100*1440)-105)^1.6))/2)/86400),"")</f>
        <v/>
      </c>
      <c r="O100" s="100" t="str">
        <f>IF(FacingSheet!$B$11=100,IF(ISERROR(((((H100*1440)-230)*60)-((((H100*1440)-230)^1.6))/4)/86400),"",((((H100*1440)-230)*60)-((((H100*1440)-230)^1.6))/4)/86400),"")</f>
        <v/>
      </c>
      <c r="P100" s="108" t="str">
        <f>IF(FacingSheet!$B$11=10,J100,IF(FacingSheet!$B$11=15,K100,IF(FacingSheet!$B$11=25,L100,IF(FacingSheet!$B$11=30,M100,IF(FacingSheet!$B$11=50,N100,IF(FacingSheet!$B$11=100,O100,""))))))</f>
        <v/>
      </c>
      <c r="Q100" s="65" t="str">
        <f>IF(OR(F100="V",F100="FV"),IF(I100="","",IF(MONTH(FacingSheet!$S$9)&gt;MONTH(I100),YEAR(FacingSheet!$S$9)-YEAR(I100),IF(AND(MONTH(FacingSheet!$S$9)=MONTH(I100),DAY(FacingSheet!$S$9)&gt;=DAY(I100)),YEAR(FacingSheet!$S$9)-YEAR(I100),(YEAR(FacingSheet!$S$9)-YEAR(I100))-1))),"")</f>
        <v/>
      </c>
      <c r="R100" s="108" t="str">
        <f>IF(Q100="","",IF(FacingSheet!$B$11=10,VLOOKUP(Q100,Age,2,FALSE),IF(FacingSheet!$B$11=15,VLOOKUP(Q100,Age,3,FALSE),IF(FacingSheet!$B$11=25,VLOOKUP(Q100,Age,4,FALSE),IF(FacingSheet!$B$11=30,VLOOKUP(Q100,Age,5,FALSE),IF(FacingSheet!$B$11=50,VLOOKUP(Q100,Age,6,FALSE),IF(FacingSheet!$B$11=100,VLOOKUP(Q100,Age,7,FALSE),"")))))))</f>
        <v/>
      </c>
      <c r="S100" s="108" t="str">
        <f>IF(Q100="","",IF(FacingSheet!$B$11=10,VLOOKUP(Q100,AgeF,2,FALSE),IF(FacingSheet!$B$11=15,VLOOKUP(Q100,AgeF,3,FALSE),IF(FacingSheet!$B$11=25,VLOOKUP(Q100,AgeF,4,FALSE),IF(FacingSheet!$B$11=30,VLOOKUP(Q100,AgeF,5,FALSE),IF(FacingSheet!$B$11=50,VLOOKUP(Q100,AgeF,6,FALSE),IF(FacingSheet!$B$11=100,VLOOKUP(Q100,AgeF,7,FALSE),"")))))))</f>
        <v/>
      </c>
      <c r="T100" s="108" t="str">
        <f t="shared" si="4"/>
        <v/>
      </c>
      <c r="U100" s="29"/>
      <c r="V100" s="29"/>
      <c r="W100" s="29"/>
      <c r="X100" s="132"/>
      <c r="Y100" s="132"/>
      <c r="Z100" s="132"/>
    </row>
    <row r="101" spans="1:26">
      <c r="A101" s="36"/>
      <c r="B101" s="133"/>
      <c r="C101" s="133"/>
      <c r="D101" s="106" t="str">
        <f t="shared" si="3"/>
        <v xml:space="preserve"> </v>
      </c>
      <c r="E101" s="29"/>
      <c r="F101" s="29"/>
      <c r="G101" s="29"/>
      <c r="H101" s="193"/>
      <c r="I101" s="131"/>
      <c r="J101" s="100" t="str">
        <f>IF(FacingSheet!$B$11=10,IF(ISERROR(((((H101*1440)-20)*60)-(((H101*1440)-20)^1.6)*2.5)/86400),"",((((H101*1440)-20)*60)-(((H101*1440)-20)^1.6)*2.5)/86400),"")</f>
        <v/>
      </c>
      <c r="K101" s="100" t="str">
        <f>IF(FacingSheet!$B$11=15,IF(ISERROR(((((H101*1440)-33)*60)-(((H101*1440)-33)^1.6)*1.667)/86400),"",((((H101*1440)-33)*60)-(((H101*1440)-33)^1.6)*1.667)/86400),"")</f>
        <v/>
      </c>
      <c r="L101" s="100" t="str">
        <f>IF(FacingSheet!$B$11=25,IF(ISERROR(((((H101*1440)-50)*60)-(((H101*1440)-50)^1.6))/86400),"",((((H101*1440)-50)*60)-(((H101*1440)-50)^1.6))/86400),"")</f>
        <v/>
      </c>
      <c r="M101" s="100" t="str">
        <f>IF(FacingSheet!$B$11=30,IF(ISERROR(((((H101*1440)-60)*60)-((((H101*1440)-60)^1.6))/1.2)/86400),"",((((H101*1440)-60)*60)-((((H101*1440)-60)^1.6))/1.2)/86400),"")</f>
        <v/>
      </c>
      <c r="N101" s="100" t="str">
        <f>IF(FacingSheet!$B$11=50,IF(ISERROR(((((H101*1440)-105)*60)-((((H101*1440)-105)^1.6))/2)/86400),"",((((H101*1440)-105)*60)-((((H101*1440)-105)^1.6))/2)/86400),"")</f>
        <v/>
      </c>
      <c r="O101" s="100" t="str">
        <f>IF(FacingSheet!$B$11=100,IF(ISERROR(((((H101*1440)-230)*60)-((((H101*1440)-230)^1.6))/4)/86400),"",((((H101*1440)-230)*60)-((((H101*1440)-230)^1.6))/4)/86400),"")</f>
        <v/>
      </c>
      <c r="P101" s="108" t="str">
        <f>IF(FacingSheet!$B$11=10,J101,IF(FacingSheet!$B$11=15,K101,IF(FacingSheet!$B$11=25,L101,IF(FacingSheet!$B$11=30,M101,IF(FacingSheet!$B$11=50,N101,IF(FacingSheet!$B$11=100,O101,""))))))</f>
        <v/>
      </c>
      <c r="Q101" s="65" t="str">
        <f>IF(OR(F101="V",F101="FV"),IF(I101="","",IF(MONTH(FacingSheet!$S$9)&gt;MONTH(I101),YEAR(FacingSheet!$S$9)-YEAR(I101),IF(AND(MONTH(FacingSheet!$S$9)=MONTH(I101),DAY(FacingSheet!$S$9)&gt;=DAY(I101)),YEAR(FacingSheet!$S$9)-YEAR(I101),(YEAR(FacingSheet!$S$9)-YEAR(I101))-1))),"")</f>
        <v/>
      </c>
      <c r="R101" s="108" t="str">
        <f>IF(Q101="","",IF(FacingSheet!$B$11=10,VLOOKUP(Q101,Age,2,FALSE),IF(FacingSheet!$B$11=15,VLOOKUP(Q101,Age,3,FALSE),IF(FacingSheet!$B$11=25,VLOOKUP(Q101,Age,4,FALSE),IF(FacingSheet!$B$11=30,VLOOKUP(Q101,Age,5,FALSE),IF(FacingSheet!$B$11=50,VLOOKUP(Q101,Age,6,FALSE),IF(FacingSheet!$B$11=100,VLOOKUP(Q101,Age,7,FALSE),"")))))))</f>
        <v/>
      </c>
      <c r="S101" s="108" t="str">
        <f>IF(Q101="","",IF(FacingSheet!$B$11=10,VLOOKUP(Q101,AgeF,2,FALSE),IF(FacingSheet!$B$11=15,VLOOKUP(Q101,AgeF,3,FALSE),IF(FacingSheet!$B$11=25,VLOOKUP(Q101,AgeF,4,FALSE),IF(FacingSheet!$B$11=30,VLOOKUP(Q101,AgeF,5,FALSE),IF(FacingSheet!$B$11=50,VLOOKUP(Q101,AgeF,6,FALSE),IF(FacingSheet!$B$11=100,VLOOKUP(Q101,AgeF,7,FALSE),"")))))))</f>
        <v/>
      </c>
      <c r="T101" s="108" t="str">
        <f t="shared" si="4"/>
        <v/>
      </c>
      <c r="U101" s="29"/>
      <c r="V101" s="29"/>
      <c r="W101" s="29"/>
      <c r="X101" s="132"/>
      <c r="Y101" s="132"/>
      <c r="Z101" s="132"/>
    </row>
    <row r="102" spans="1:26">
      <c r="A102" s="36"/>
      <c r="B102" s="133"/>
      <c r="C102" s="133"/>
      <c r="D102" s="106" t="str">
        <f t="shared" si="3"/>
        <v xml:space="preserve"> </v>
      </c>
      <c r="E102" s="29"/>
      <c r="F102" s="29"/>
      <c r="G102" s="29"/>
      <c r="H102" s="193"/>
      <c r="I102" s="131"/>
      <c r="J102" s="100" t="str">
        <f>IF(FacingSheet!$B$11=10,IF(ISERROR(((((H102*1440)-20)*60)-(((H102*1440)-20)^1.6)*2.5)/86400),"",((((H102*1440)-20)*60)-(((H102*1440)-20)^1.6)*2.5)/86400),"")</f>
        <v/>
      </c>
      <c r="K102" s="100" t="str">
        <f>IF(FacingSheet!$B$11=15,IF(ISERROR(((((H102*1440)-33)*60)-(((H102*1440)-33)^1.6)*1.667)/86400),"",((((H102*1440)-33)*60)-(((H102*1440)-33)^1.6)*1.667)/86400),"")</f>
        <v/>
      </c>
      <c r="L102" s="100" t="str">
        <f>IF(FacingSheet!$B$11=25,IF(ISERROR(((((H102*1440)-50)*60)-(((H102*1440)-50)^1.6))/86400),"",((((H102*1440)-50)*60)-(((H102*1440)-50)^1.6))/86400),"")</f>
        <v/>
      </c>
      <c r="M102" s="100" t="str">
        <f>IF(FacingSheet!$B$11=30,IF(ISERROR(((((H102*1440)-60)*60)-((((H102*1440)-60)^1.6))/1.2)/86400),"",((((H102*1440)-60)*60)-((((H102*1440)-60)^1.6))/1.2)/86400),"")</f>
        <v/>
      </c>
      <c r="N102" s="100" t="str">
        <f>IF(FacingSheet!$B$11=50,IF(ISERROR(((((H102*1440)-105)*60)-((((H102*1440)-105)^1.6))/2)/86400),"",((((H102*1440)-105)*60)-((((H102*1440)-105)^1.6))/2)/86400),"")</f>
        <v/>
      </c>
      <c r="O102" s="100" t="str">
        <f>IF(FacingSheet!$B$11=100,IF(ISERROR(((((H102*1440)-230)*60)-((((H102*1440)-230)^1.6))/4)/86400),"",((((H102*1440)-230)*60)-((((H102*1440)-230)^1.6))/4)/86400),"")</f>
        <v/>
      </c>
      <c r="P102" s="108" t="str">
        <f>IF(FacingSheet!$B$11=10,J102,IF(FacingSheet!$B$11=15,K102,IF(FacingSheet!$B$11=25,L102,IF(FacingSheet!$B$11=30,M102,IF(FacingSheet!$B$11=50,N102,IF(FacingSheet!$B$11=100,O102,""))))))</f>
        <v/>
      </c>
      <c r="Q102" s="65" t="str">
        <f>IF(OR(F102="V",F102="FV"),IF(I102="","",IF(MONTH(FacingSheet!$S$9)&gt;MONTH(I102),YEAR(FacingSheet!$S$9)-YEAR(I102),IF(AND(MONTH(FacingSheet!$S$9)=MONTH(I102),DAY(FacingSheet!$S$9)&gt;=DAY(I102)),YEAR(FacingSheet!$S$9)-YEAR(I102),(YEAR(FacingSheet!$S$9)-YEAR(I102))-1))),"")</f>
        <v/>
      </c>
      <c r="R102" s="108" t="str">
        <f>IF(Q102="","",IF(FacingSheet!$B$11=10,VLOOKUP(Q102,Age,2,FALSE),IF(FacingSheet!$B$11=15,VLOOKUP(Q102,Age,3,FALSE),IF(FacingSheet!$B$11=25,VLOOKUP(Q102,Age,4,FALSE),IF(FacingSheet!$B$11=30,VLOOKUP(Q102,Age,5,FALSE),IF(FacingSheet!$B$11=50,VLOOKUP(Q102,Age,6,FALSE),IF(FacingSheet!$B$11=100,VLOOKUP(Q102,Age,7,FALSE),"")))))))</f>
        <v/>
      </c>
      <c r="S102" s="108" t="str">
        <f>IF(Q102="","",IF(FacingSheet!$B$11=10,VLOOKUP(Q102,AgeF,2,FALSE),IF(FacingSheet!$B$11=15,VLOOKUP(Q102,AgeF,3,FALSE),IF(FacingSheet!$B$11=25,VLOOKUP(Q102,AgeF,4,FALSE),IF(FacingSheet!$B$11=30,VLOOKUP(Q102,AgeF,5,FALSE),IF(FacingSheet!$B$11=50,VLOOKUP(Q102,AgeF,6,FALSE),IF(FacingSheet!$B$11=100,VLOOKUP(Q102,AgeF,7,FALSE),"")))))))</f>
        <v/>
      </c>
      <c r="T102" s="108" t="str">
        <f t="shared" si="4"/>
        <v/>
      </c>
      <c r="U102" s="29"/>
      <c r="V102" s="29"/>
      <c r="W102" s="29"/>
      <c r="X102" s="132"/>
      <c r="Y102" s="132"/>
      <c r="Z102" s="132"/>
    </row>
    <row r="103" spans="1:26">
      <c r="A103" s="36"/>
      <c r="B103" s="133"/>
      <c r="C103" s="133"/>
      <c r="D103" s="106" t="str">
        <f t="shared" si="3"/>
        <v xml:space="preserve"> </v>
      </c>
      <c r="E103" s="29"/>
      <c r="F103" s="29"/>
      <c r="G103" s="29"/>
      <c r="H103" s="193"/>
      <c r="I103" s="131"/>
      <c r="J103" s="100" t="str">
        <f>IF(FacingSheet!$B$11=10,IF(ISERROR(((((H103*1440)-20)*60)-(((H103*1440)-20)^1.6)*2.5)/86400),"",((((H103*1440)-20)*60)-(((H103*1440)-20)^1.6)*2.5)/86400),"")</f>
        <v/>
      </c>
      <c r="K103" s="100" t="str">
        <f>IF(FacingSheet!$B$11=15,IF(ISERROR(((((H103*1440)-33)*60)-(((H103*1440)-33)^1.6)*1.667)/86400),"",((((H103*1440)-33)*60)-(((H103*1440)-33)^1.6)*1.667)/86400),"")</f>
        <v/>
      </c>
      <c r="L103" s="100" t="str">
        <f>IF(FacingSheet!$B$11=25,IF(ISERROR(((((H103*1440)-50)*60)-(((H103*1440)-50)^1.6))/86400),"",((((H103*1440)-50)*60)-(((H103*1440)-50)^1.6))/86400),"")</f>
        <v/>
      </c>
      <c r="M103" s="100" t="str">
        <f>IF(FacingSheet!$B$11=30,IF(ISERROR(((((H103*1440)-60)*60)-((((H103*1440)-60)^1.6))/1.2)/86400),"",((((H103*1440)-60)*60)-((((H103*1440)-60)^1.6))/1.2)/86400),"")</f>
        <v/>
      </c>
      <c r="N103" s="100" t="str">
        <f>IF(FacingSheet!$B$11=50,IF(ISERROR(((((H103*1440)-105)*60)-((((H103*1440)-105)^1.6))/2)/86400),"",((((H103*1440)-105)*60)-((((H103*1440)-105)^1.6))/2)/86400),"")</f>
        <v/>
      </c>
      <c r="O103" s="100" t="str">
        <f>IF(FacingSheet!$B$11=100,IF(ISERROR(((((H103*1440)-230)*60)-((((H103*1440)-230)^1.6))/4)/86400),"",((((H103*1440)-230)*60)-((((H103*1440)-230)^1.6))/4)/86400),"")</f>
        <v/>
      </c>
      <c r="P103" s="108" t="str">
        <f>IF(FacingSheet!$B$11=10,J103,IF(FacingSheet!$B$11=15,K103,IF(FacingSheet!$B$11=25,L103,IF(FacingSheet!$B$11=30,M103,IF(FacingSheet!$B$11=50,N103,IF(FacingSheet!$B$11=100,O103,""))))))</f>
        <v/>
      </c>
      <c r="Q103" s="65" t="str">
        <f>IF(OR(F103="V",F103="FV"),IF(I103="","",IF(MONTH(FacingSheet!$S$9)&gt;MONTH(I103),YEAR(FacingSheet!$S$9)-YEAR(I103),IF(AND(MONTH(FacingSheet!$S$9)=MONTH(I103),DAY(FacingSheet!$S$9)&gt;=DAY(I103)),YEAR(FacingSheet!$S$9)-YEAR(I103),(YEAR(FacingSheet!$S$9)-YEAR(I103))-1))),"")</f>
        <v/>
      </c>
      <c r="R103" s="108" t="str">
        <f>IF(Q103="","",IF(FacingSheet!$B$11=10,VLOOKUP(Q103,Age,2,FALSE),IF(FacingSheet!$B$11=15,VLOOKUP(Q103,Age,3,FALSE),IF(FacingSheet!$B$11=25,VLOOKUP(Q103,Age,4,FALSE),IF(FacingSheet!$B$11=30,VLOOKUP(Q103,Age,5,FALSE),IF(FacingSheet!$B$11=50,VLOOKUP(Q103,Age,6,FALSE),IF(FacingSheet!$B$11=100,VLOOKUP(Q103,Age,7,FALSE),"")))))))</f>
        <v/>
      </c>
      <c r="S103" s="108" t="str">
        <f>IF(Q103="","",IF(FacingSheet!$B$11=10,VLOOKUP(Q103,AgeF,2,FALSE),IF(FacingSheet!$B$11=15,VLOOKUP(Q103,AgeF,3,FALSE),IF(FacingSheet!$B$11=25,VLOOKUP(Q103,AgeF,4,FALSE),IF(FacingSheet!$B$11=30,VLOOKUP(Q103,AgeF,5,FALSE),IF(FacingSheet!$B$11=50,VLOOKUP(Q103,AgeF,6,FALSE),IF(FacingSheet!$B$11=100,VLOOKUP(Q103,AgeF,7,FALSE),"")))))))</f>
        <v/>
      </c>
      <c r="T103" s="108" t="str">
        <f t="shared" si="4"/>
        <v/>
      </c>
      <c r="U103" s="29"/>
      <c r="V103" s="29"/>
      <c r="W103" s="29"/>
      <c r="X103" s="132"/>
      <c r="Y103" s="132"/>
      <c r="Z103" s="132"/>
    </row>
    <row r="104" spans="1:26">
      <c r="A104" s="36"/>
      <c r="B104" s="133"/>
      <c r="C104" s="133"/>
      <c r="D104" s="106" t="str">
        <f t="shared" si="3"/>
        <v xml:space="preserve"> </v>
      </c>
      <c r="E104" s="29"/>
      <c r="F104" s="29"/>
      <c r="G104" s="29"/>
      <c r="H104" s="193"/>
      <c r="I104" s="131"/>
      <c r="J104" s="100" t="str">
        <f>IF(FacingSheet!$B$11=10,IF(ISERROR(((((H104*1440)-20)*60)-(((H104*1440)-20)^1.6)*2.5)/86400),"",((((H104*1440)-20)*60)-(((H104*1440)-20)^1.6)*2.5)/86400),"")</f>
        <v/>
      </c>
      <c r="K104" s="100" t="str">
        <f>IF(FacingSheet!$B$11=15,IF(ISERROR(((((H104*1440)-33)*60)-(((H104*1440)-33)^1.6)*1.667)/86400),"",((((H104*1440)-33)*60)-(((H104*1440)-33)^1.6)*1.667)/86400),"")</f>
        <v/>
      </c>
      <c r="L104" s="100" t="str">
        <f>IF(FacingSheet!$B$11=25,IF(ISERROR(((((H104*1440)-50)*60)-(((H104*1440)-50)^1.6))/86400),"",((((H104*1440)-50)*60)-(((H104*1440)-50)^1.6))/86400),"")</f>
        <v/>
      </c>
      <c r="M104" s="100" t="str">
        <f>IF(FacingSheet!$B$11=30,IF(ISERROR(((((H104*1440)-60)*60)-((((H104*1440)-60)^1.6))/1.2)/86400),"",((((H104*1440)-60)*60)-((((H104*1440)-60)^1.6))/1.2)/86400),"")</f>
        <v/>
      </c>
      <c r="N104" s="100" t="str">
        <f>IF(FacingSheet!$B$11=50,IF(ISERROR(((((H104*1440)-105)*60)-((((H104*1440)-105)^1.6))/2)/86400),"",((((H104*1440)-105)*60)-((((H104*1440)-105)^1.6))/2)/86400),"")</f>
        <v/>
      </c>
      <c r="O104" s="100" t="str">
        <f>IF(FacingSheet!$B$11=100,IF(ISERROR(((((H104*1440)-230)*60)-((((H104*1440)-230)^1.6))/4)/86400),"",((((H104*1440)-230)*60)-((((H104*1440)-230)^1.6))/4)/86400),"")</f>
        <v/>
      </c>
      <c r="P104" s="108" t="str">
        <f>IF(FacingSheet!$B$11=10,J104,IF(FacingSheet!$B$11=15,K104,IF(FacingSheet!$B$11=25,L104,IF(FacingSheet!$B$11=30,M104,IF(FacingSheet!$B$11=50,N104,IF(FacingSheet!$B$11=100,O104,""))))))</f>
        <v/>
      </c>
      <c r="Q104" s="65" t="str">
        <f>IF(OR(F104="V",F104="FV"),IF(I104="","",IF(MONTH(FacingSheet!$S$9)&gt;MONTH(I104),YEAR(FacingSheet!$S$9)-YEAR(I104),IF(AND(MONTH(FacingSheet!$S$9)=MONTH(I104),DAY(FacingSheet!$S$9)&gt;=DAY(I104)),YEAR(FacingSheet!$S$9)-YEAR(I104),(YEAR(FacingSheet!$S$9)-YEAR(I104))-1))),"")</f>
        <v/>
      </c>
      <c r="R104" s="108" t="str">
        <f>IF(Q104="","",IF(FacingSheet!$B$11=10,VLOOKUP(Q104,Age,2,FALSE),IF(FacingSheet!$B$11=15,VLOOKUP(Q104,Age,3,FALSE),IF(FacingSheet!$B$11=25,VLOOKUP(Q104,Age,4,FALSE),IF(FacingSheet!$B$11=30,VLOOKUP(Q104,Age,5,FALSE),IF(FacingSheet!$B$11=50,VLOOKUP(Q104,Age,6,FALSE),IF(FacingSheet!$B$11=100,VLOOKUP(Q104,Age,7,FALSE),"")))))))</f>
        <v/>
      </c>
      <c r="S104" s="108" t="str">
        <f>IF(Q104="","",IF(FacingSheet!$B$11=10,VLOOKUP(Q104,AgeF,2,FALSE),IF(FacingSheet!$B$11=15,VLOOKUP(Q104,AgeF,3,FALSE),IF(FacingSheet!$B$11=25,VLOOKUP(Q104,AgeF,4,FALSE),IF(FacingSheet!$B$11=30,VLOOKUP(Q104,AgeF,5,FALSE),IF(FacingSheet!$B$11=50,VLOOKUP(Q104,AgeF,6,FALSE),IF(FacingSheet!$B$11=100,VLOOKUP(Q104,AgeF,7,FALSE),"")))))))</f>
        <v/>
      </c>
      <c r="T104" s="108" t="str">
        <f t="shared" si="4"/>
        <v/>
      </c>
      <c r="U104" s="29"/>
      <c r="V104" s="29"/>
      <c r="W104" s="29"/>
      <c r="X104" s="132"/>
      <c r="Y104" s="132"/>
      <c r="Z104" s="132"/>
    </row>
    <row r="105" spans="1:26">
      <c r="A105" s="36"/>
      <c r="B105" s="133"/>
      <c r="C105" s="133"/>
      <c r="D105" s="106" t="str">
        <f t="shared" si="3"/>
        <v xml:space="preserve"> </v>
      </c>
      <c r="E105" s="29"/>
      <c r="F105" s="29"/>
      <c r="G105" s="29"/>
      <c r="H105" s="193"/>
      <c r="I105" s="131"/>
      <c r="J105" s="100" t="str">
        <f>IF(FacingSheet!$B$11=10,IF(ISERROR(((((H105*1440)-20)*60)-(((H105*1440)-20)^1.6)*2.5)/86400),"",((((H105*1440)-20)*60)-(((H105*1440)-20)^1.6)*2.5)/86400),"")</f>
        <v/>
      </c>
      <c r="K105" s="100" t="str">
        <f>IF(FacingSheet!$B$11=15,IF(ISERROR(((((H105*1440)-33)*60)-(((H105*1440)-33)^1.6)*1.667)/86400),"",((((H105*1440)-33)*60)-(((H105*1440)-33)^1.6)*1.667)/86400),"")</f>
        <v/>
      </c>
      <c r="L105" s="100" t="str">
        <f>IF(FacingSheet!$B$11=25,IF(ISERROR(((((H105*1440)-50)*60)-(((H105*1440)-50)^1.6))/86400),"",((((H105*1440)-50)*60)-(((H105*1440)-50)^1.6))/86400),"")</f>
        <v/>
      </c>
      <c r="M105" s="100" t="str">
        <f>IF(FacingSheet!$B$11=30,IF(ISERROR(((((H105*1440)-60)*60)-((((H105*1440)-60)^1.6))/1.2)/86400),"",((((H105*1440)-60)*60)-((((H105*1440)-60)^1.6))/1.2)/86400),"")</f>
        <v/>
      </c>
      <c r="N105" s="100" t="str">
        <f>IF(FacingSheet!$B$11=50,IF(ISERROR(((((H105*1440)-105)*60)-((((H105*1440)-105)^1.6))/2)/86400),"",((((H105*1440)-105)*60)-((((H105*1440)-105)^1.6))/2)/86400),"")</f>
        <v/>
      </c>
      <c r="O105" s="100" t="str">
        <f>IF(FacingSheet!$B$11=100,IF(ISERROR(((((H105*1440)-230)*60)-((((H105*1440)-230)^1.6))/4)/86400),"",((((H105*1440)-230)*60)-((((H105*1440)-230)^1.6))/4)/86400),"")</f>
        <v/>
      </c>
      <c r="P105" s="108" t="str">
        <f>IF(FacingSheet!$B$11=10,J105,IF(FacingSheet!$B$11=15,K105,IF(FacingSheet!$B$11=25,L105,IF(FacingSheet!$B$11=30,M105,IF(FacingSheet!$B$11=50,N105,IF(FacingSheet!$B$11=100,O105,""))))))</f>
        <v/>
      </c>
      <c r="Q105" s="65" t="str">
        <f>IF(OR(F105="V",F105="FV"),IF(I105="","",IF(MONTH(FacingSheet!$S$9)&gt;MONTH(I105),YEAR(FacingSheet!$S$9)-YEAR(I105),IF(AND(MONTH(FacingSheet!$S$9)=MONTH(I105),DAY(FacingSheet!$S$9)&gt;=DAY(I105)),YEAR(FacingSheet!$S$9)-YEAR(I105),(YEAR(FacingSheet!$S$9)-YEAR(I105))-1))),"")</f>
        <v/>
      </c>
      <c r="R105" s="108" t="str">
        <f>IF(Q105="","",IF(FacingSheet!$B$11=10,VLOOKUP(Q105,Age,2,FALSE),IF(FacingSheet!$B$11=15,VLOOKUP(Q105,Age,3,FALSE),IF(FacingSheet!$B$11=25,VLOOKUP(Q105,Age,4,FALSE),IF(FacingSheet!$B$11=30,VLOOKUP(Q105,Age,5,FALSE),IF(FacingSheet!$B$11=50,VLOOKUP(Q105,Age,6,FALSE),IF(FacingSheet!$B$11=100,VLOOKUP(Q105,Age,7,FALSE),"")))))))</f>
        <v/>
      </c>
      <c r="S105" s="108" t="str">
        <f>IF(Q105="","",IF(FacingSheet!$B$11=10,VLOOKUP(Q105,AgeF,2,FALSE),IF(FacingSheet!$B$11=15,VLOOKUP(Q105,AgeF,3,FALSE),IF(FacingSheet!$B$11=25,VLOOKUP(Q105,AgeF,4,FALSE),IF(FacingSheet!$B$11=30,VLOOKUP(Q105,AgeF,5,FALSE),IF(FacingSheet!$B$11=50,VLOOKUP(Q105,AgeF,6,FALSE),IF(FacingSheet!$B$11=100,VLOOKUP(Q105,AgeF,7,FALSE),"")))))))</f>
        <v/>
      </c>
      <c r="T105" s="108" t="str">
        <f t="shared" si="4"/>
        <v/>
      </c>
      <c r="U105" s="29"/>
      <c r="V105" s="29"/>
      <c r="W105" s="29"/>
      <c r="X105" s="132"/>
      <c r="Y105" s="132"/>
      <c r="Z105" s="132"/>
    </row>
    <row r="106" spans="1:26">
      <c r="A106" s="36"/>
      <c r="B106" s="133"/>
      <c r="C106" s="133"/>
      <c r="D106" s="106" t="str">
        <f t="shared" si="3"/>
        <v xml:space="preserve"> </v>
      </c>
      <c r="E106" s="29"/>
      <c r="F106" s="29"/>
      <c r="G106" s="29"/>
      <c r="H106" s="193"/>
      <c r="I106" s="131"/>
      <c r="J106" s="100" t="str">
        <f>IF(FacingSheet!$B$11=10,IF(ISERROR(((((H106*1440)-20)*60)-(((H106*1440)-20)^1.6)*2.5)/86400),"",((((H106*1440)-20)*60)-(((H106*1440)-20)^1.6)*2.5)/86400),"")</f>
        <v/>
      </c>
      <c r="K106" s="100" t="str">
        <f>IF(FacingSheet!$B$11=15,IF(ISERROR(((((H106*1440)-33)*60)-(((H106*1440)-33)^1.6)*1.667)/86400),"",((((H106*1440)-33)*60)-(((H106*1440)-33)^1.6)*1.667)/86400),"")</f>
        <v/>
      </c>
      <c r="L106" s="100" t="str">
        <f>IF(FacingSheet!$B$11=25,IF(ISERROR(((((H106*1440)-50)*60)-(((H106*1440)-50)^1.6))/86400),"",((((H106*1440)-50)*60)-(((H106*1440)-50)^1.6))/86400),"")</f>
        <v/>
      </c>
      <c r="M106" s="100" t="str">
        <f>IF(FacingSheet!$B$11=30,IF(ISERROR(((((H106*1440)-60)*60)-((((H106*1440)-60)^1.6))/1.2)/86400),"",((((H106*1440)-60)*60)-((((H106*1440)-60)^1.6))/1.2)/86400),"")</f>
        <v/>
      </c>
      <c r="N106" s="100" t="str">
        <f>IF(FacingSheet!$B$11=50,IF(ISERROR(((((H106*1440)-105)*60)-((((H106*1440)-105)^1.6))/2)/86400),"",((((H106*1440)-105)*60)-((((H106*1440)-105)^1.6))/2)/86400),"")</f>
        <v/>
      </c>
      <c r="O106" s="100" t="str">
        <f>IF(FacingSheet!$B$11=100,IF(ISERROR(((((H106*1440)-230)*60)-((((H106*1440)-230)^1.6))/4)/86400),"",((((H106*1440)-230)*60)-((((H106*1440)-230)^1.6))/4)/86400),"")</f>
        <v/>
      </c>
      <c r="P106" s="108" t="str">
        <f>IF(FacingSheet!$B$11=10,J106,IF(FacingSheet!$B$11=15,K106,IF(FacingSheet!$B$11=25,L106,IF(FacingSheet!$B$11=30,M106,IF(FacingSheet!$B$11=50,N106,IF(FacingSheet!$B$11=100,O106,""))))))</f>
        <v/>
      </c>
      <c r="Q106" s="65" t="str">
        <f>IF(OR(F106="V",F106="FV"),IF(I106="","",IF(MONTH(FacingSheet!$S$9)&gt;MONTH(I106),YEAR(FacingSheet!$S$9)-YEAR(I106),IF(AND(MONTH(FacingSheet!$S$9)=MONTH(I106),DAY(FacingSheet!$S$9)&gt;=DAY(I106)),YEAR(FacingSheet!$S$9)-YEAR(I106),(YEAR(FacingSheet!$S$9)-YEAR(I106))-1))),"")</f>
        <v/>
      </c>
      <c r="R106" s="108" t="str">
        <f>IF(Q106="","",IF(FacingSheet!$B$11=10,VLOOKUP(Q106,Age,2,FALSE),IF(FacingSheet!$B$11=15,VLOOKUP(Q106,Age,3,FALSE),IF(FacingSheet!$B$11=25,VLOOKUP(Q106,Age,4,FALSE),IF(FacingSheet!$B$11=30,VLOOKUP(Q106,Age,5,FALSE),IF(FacingSheet!$B$11=50,VLOOKUP(Q106,Age,6,FALSE),IF(FacingSheet!$B$11=100,VLOOKUP(Q106,Age,7,FALSE),"")))))))</f>
        <v/>
      </c>
      <c r="S106" s="108" t="str">
        <f>IF(Q106="","",IF(FacingSheet!$B$11=10,VLOOKUP(Q106,AgeF,2,FALSE),IF(FacingSheet!$B$11=15,VLOOKUP(Q106,AgeF,3,FALSE),IF(FacingSheet!$B$11=25,VLOOKUP(Q106,AgeF,4,FALSE),IF(FacingSheet!$B$11=30,VLOOKUP(Q106,AgeF,5,FALSE),IF(FacingSheet!$B$11=50,VLOOKUP(Q106,AgeF,6,FALSE),IF(FacingSheet!$B$11=100,VLOOKUP(Q106,AgeF,7,FALSE),"")))))))</f>
        <v/>
      </c>
      <c r="T106" s="108" t="str">
        <f t="shared" si="4"/>
        <v/>
      </c>
      <c r="U106" s="29"/>
      <c r="V106" s="29"/>
      <c r="W106" s="29"/>
      <c r="X106" s="132"/>
      <c r="Y106" s="132"/>
      <c r="Z106" s="132"/>
    </row>
    <row r="107" spans="1:26">
      <c r="A107" s="36"/>
      <c r="B107" s="133"/>
      <c r="C107" s="133"/>
      <c r="D107" s="106" t="str">
        <f t="shared" si="3"/>
        <v xml:space="preserve"> </v>
      </c>
      <c r="E107" s="29"/>
      <c r="F107" s="29"/>
      <c r="G107" s="29"/>
      <c r="H107" s="193"/>
      <c r="I107" s="131"/>
      <c r="J107" s="100" t="str">
        <f>IF(FacingSheet!$B$11=10,IF(ISERROR(((((H107*1440)-20)*60)-(((H107*1440)-20)^1.6)*2.5)/86400),"",((((H107*1440)-20)*60)-(((H107*1440)-20)^1.6)*2.5)/86400),"")</f>
        <v/>
      </c>
      <c r="K107" s="100" t="str">
        <f>IF(FacingSheet!$B$11=15,IF(ISERROR(((((H107*1440)-33)*60)-(((H107*1440)-33)^1.6)*1.667)/86400),"",((((H107*1440)-33)*60)-(((H107*1440)-33)^1.6)*1.667)/86400),"")</f>
        <v/>
      </c>
      <c r="L107" s="100" t="str">
        <f>IF(FacingSheet!$B$11=25,IF(ISERROR(((((H107*1440)-50)*60)-(((H107*1440)-50)^1.6))/86400),"",((((H107*1440)-50)*60)-(((H107*1440)-50)^1.6))/86400),"")</f>
        <v/>
      </c>
      <c r="M107" s="100" t="str">
        <f>IF(FacingSheet!$B$11=30,IF(ISERROR(((((H107*1440)-60)*60)-((((H107*1440)-60)^1.6))/1.2)/86400),"",((((H107*1440)-60)*60)-((((H107*1440)-60)^1.6))/1.2)/86400),"")</f>
        <v/>
      </c>
      <c r="N107" s="100" t="str">
        <f>IF(FacingSheet!$B$11=50,IF(ISERROR(((((H107*1440)-105)*60)-((((H107*1440)-105)^1.6))/2)/86400),"",((((H107*1440)-105)*60)-((((H107*1440)-105)^1.6))/2)/86400),"")</f>
        <v/>
      </c>
      <c r="O107" s="100" t="str">
        <f>IF(FacingSheet!$B$11=100,IF(ISERROR(((((H107*1440)-230)*60)-((((H107*1440)-230)^1.6))/4)/86400),"",((((H107*1440)-230)*60)-((((H107*1440)-230)^1.6))/4)/86400),"")</f>
        <v/>
      </c>
      <c r="P107" s="108" t="str">
        <f>IF(FacingSheet!$B$11=10,J107,IF(FacingSheet!$B$11=15,K107,IF(FacingSheet!$B$11=25,L107,IF(FacingSheet!$B$11=30,M107,IF(FacingSheet!$B$11=50,N107,IF(FacingSheet!$B$11=100,O107,""))))))</f>
        <v/>
      </c>
      <c r="Q107" s="65" t="str">
        <f>IF(OR(F107="V",F107="FV"),IF(I107="","",IF(MONTH(FacingSheet!$S$9)&gt;MONTH(I107),YEAR(FacingSheet!$S$9)-YEAR(I107),IF(AND(MONTH(FacingSheet!$S$9)=MONTH(I107),DAY(FacingSheet!$S$9)&gt;=DAY(I107)),YEAR(FacingSheet!$S$9)-YEAR(I107),(YEAR(FacingSheet!$S$9)-YEAR(I107))-1))),"")</f>
        <v/>
      </c>
      <c r="R107" s="108" t="str">
        <f>IF(Q107="","",IF(FacingSheet!$B$11=10,VLOOKUP(Q107,Age,2,FALSE),IF(FacingSheet!$B$11=15,VLOOKUP(Q107,Age,3,FALSE),IF(FacingSheet!$B$11=25,VLOOKUP(Q107,Age,4,FALSE),IF(FacingSheet!$B$11=30,VLOOKUP(Q107,Age,5,FALSE),IF(FacingSheet!$B$11=50,VLOOKUP(Q107,Age,6,FALSE),IF(FacingSheet!$B$11=100,VLOOKUP(Q107,Age,7,FALSE),"")))))))</f>
        <v/>
      </c>
      <c r="S107" s="108" t="str">
        <f>IF(Q107="","",IF(FacingSheet!$B$11=10,VLOOKUP(Q107,AgeF,2,FALSE),IF(FacingSheet!$B$11=15,VLOOKUP(Q107,AgeF,3,FALSE),IF(FacingSheet!$B$11=25,VLOOKUP(Q107,AgeF,4,FALSE),IF(FacingSheet!$B$11=30,VLOOKUP(Q107,AgeF,5,FALSE),IF(FacingSheet!$B$11=50,VLOOKUP(Q107,AgeF,6,FALSE),IF(FacingSheet!$B$11=100,VLOOKUP(Q107,AgeF,7,FALSE),"")))))))</f>
        <v/>
      </c>
      <c r="T107" s="108" t="str">
        <f t="shared" si="4"/>
        <v/>
      </c>
      <c r="U107" s="29"/>
      <c r="V107" s="29"/>
      <c r="W107" s="29"/>
      <c r="X107" s="132"/>
      <c r="Y107" s="132"/>
      <c r="Z107" s="132"/>
    </row>
    <row r="108" spans="1:26">
      <c r="A108" s="36"/>
      <c r="B108" s="133"/>
      <c r="C108" s="133"/>
      <c r="D108" s="106" t="str">
        <f t="shared" si="3"/>
        <v xml:space="preserve"> </v>
      </c>
      <c r="E108" s="29"/>
      <c r="F108" s="29"/>
      <c r="G108" s="29"/>
      <c r="H108" s="193"/>
      <c r="I108" s="131"/>
      <c r="J108" s="100" t="str">
        <f>IF(FacingSheet!$B$11=10,IF(ISERROR(((((H108*1440)-20)*60)-(((H108*1440)-20)^1.6)*2.5)/86400),"",((((H108*1440)-20)*60)-(((H108*1440)-20)^1.6)*2.5)/86400),"")</f>
        <v/>
      </c>
      <c r="K108" s="100" t="str">
        <f>IF(FacingSheet!$B$11=15,IF(ISERROR(((((H108*1440)-33)*60)-(((H108*1440)-33)^1.6)*1.667)/86400),"",((((H108*1440)-33)*60)-(((H108*1440)-33)^1.6)*1.667)/86400),"")</f>
        <v/>
      </c>
      <c r="L108" s="100" t="str">
        <f>IF(FacingSheet!$B$11=25,IF(ISERROR(((((H108*1440)-50)*60)-(((H108*1440)-50)^1.6))/86400),"",((((H108*1440)-50)*60)-(((H108*1440)-50)^1.6))/86400),"")</f>
        <v/>
      </c>
      <c r="M108" s="100" t="str">
        <f>IF(FacingSheet!$B$11=30,IF(ISERROR(((((H108*1440)-60)*60)-((((H108*1440)-60)^1.6))/1.2)/86400),"",((((H108*1440)-60)*60)-((((H108*1440)-60)^1.6))/1.2)/86400),"")</f>
        <v/>
      </c>
      <c r="N108" s="100" t="str">
        <f>IF(FacingSheet!$B$11=50,IF(ISERROR(((((H108*1440)-105)*60)-((((H108*1440)-105)^1.6))/2)/86400),"",((((H108*1440)-105)*60)-((((H108*1440)-105)^1.6))/2)/86400),"")</f>
        <v/>
      </c>
      <c r="O108" s="100" t="str">
        <f>IF(FacingSheet!$B$11=100,IF(ISERROR(((((H108*1440)-230)*60)-((((H108*1440)-230)^1.6))/4)/86400),"",((((H108*1440)-230)*60)-((((H108*1440)-230)^1.6))/4)/86400),"")</f>
        <v/>
      </c>
      <c r="P108" s="108" t="str">
        <f>IF(FacingSheet!$B$11=10,J108,IF(FacingSheet!$B$11=15,K108,IF(FacingSheet!$B$11=25,L108,IF(FacingSheet!$B$11=30,M108,IF(FacingSheet!$B$11=50,N108,IF(FacingSheet!$B$11=100,O108,""))))))</f>
        <v/>
      </c>
      <c r="Q108" s="65" t="str">
        <f>IF(OR(F108="V",F108="FV"),IF(I108="","",IF(MONTH(FacingSheet!$S$9)&gt;MONTH(I108),YEAR(FacingSheet!$S$9)-YEAR(I108),IF(AND(MONTH(FacingSheet!$S$9)=MONTH(I108),DAY(FacingSheet!$S$9)&gt;=DAY(I108)),YEAR(FacingSheet!$S$9)-YEAR(I108),(YEAR(FacingSheet!$S$9)-YEAR(I108))-1))),"")</f>
        <v/>
      </c>
      <c r="R108" s="108" t="str">
        <f>IF(Q108="","",IF(FacingSheet!$B$11=10,VLOOKUP(Q108,Age,2,FALSE),IF(FacingSheet!$B$11=15,VLOOKUP(Q108,Age,3,FALSE),IF(FacingSheet!$B$11=25,VLOOKUP(Q108,Age,4,FALSE),IF(FacingSheet!$B$11=30,VLOOKUP(Q108,Age,5,FALSE),IF(FacingSheet!$B$11=50,VLOOKUP(Q108,Age,6,FALSE),IF(FacingSheet!$B$11=100,VLOOKUP(Q108,Age,7,FALSE),"")))))))</f>
        <v/>
      </c>
      <c r="S108" s="108" t="str">
        <f>IF(Q108="","",IF(FacingSheet!$B$11=10,VLOOKUP(Q108,AgeF,2,FALSE),IF(FacingSheet!$B$11=15,VLOOKUP(Q108,AgeF,3,FALSE),IF(FacingSheet!$B$11=25,VLOOKUP(Q108,AgeF,4,FALSE),IF(FacingSheet!$B$11=30,VLOOKUP(Q108,AgeF,5,FALSE),IF(FacingSheet!$B$11=50,VLOOKUP(Q108,AgeF,6,FALSE),IF(FacingSheet!$B$11=100,VLOOKUP(Q108,AgeF,7,FALSE),"")))))))</f>
        <v/>
      </c>
      <c r="T108" s="108" t="str">
        <f t="shared" si="4"/>
        <v/>
      </c>
      <c r="U108" s="29"/>
      <c r="V108" s="29"/>
      <c r="W108" s="29"/>
      <c r="X108" s="132"/>
      <c r="Y108" s="132"/>
      <c r="Z108" s="132"/>
    </row>
    <row r="109" spans="1:26">
      <c r="A109" s="36"/>
      <c r="B109" s="133"/>
      <c r="C109" s="133"/>
      <c r="D109" s="106" t="str">
        <f t="shared" si="3"/>
        <v xml:space="preserve"> </v>
      </c>
      <c r="E109" s="29"/>
      <c r="F109" s="29"/>
      <c r="G109" s="29"/>
      <c r="H109" s="193"/>
      <c r="I109" s="131"/>
      <c r="J109" s="100" t="str">
        <f>IF(FacingSheet!$B$11=10,IF(ISERROR(((((H109*1440)-20)*60)-(((H109*1440)-20)^1.6)*2.5)/86400),"",((((H109*1440)-20)*60)-(((H109*1440)-20)^1.6)*2.5)/86400),"")</f>
        <v/>
      </c>
      <c r="K109" s="100" t="str">
        <f>IF(FacingSheet!$B$11=15,IF(ISERROR(((((H109*1440)-33)*60)-(((H109*1440)-33)^1.6)*1.667)/86400),"",((((H109*1440)-33)*60)-(((H109*1440)-33)^1.6)*1.667)/86400),"")</f>
        <v/>
      </c>
      <c r="L109" s="100" t="str">
        <f>IF(FacingSheet!$B$11=25,IF(ISERROR(((((H109*1440)-50)*60)-(((H109*1440)-50)^1.6))/86400),"",((((H109*1440)-50)*60)-(((H109*1440)-50)^1.6))/86400),"")</f>
        <v/>
      </c>
      <c r="M109" s="100" t="str">
        <f>IF(FacingSheet!$B$11=30,IF(ISERROR(((((H109*1440)-60)*60)-((((H109*1440)-60)^1.6))/1.2)/86400),"",((((H109*1440)-60)*60)-((((H109*1440)-60)^1.6))/1.2)/86400),"")</f>
        <v/>
      </c>
      <c r="N109" s="100" t="str">
        <f>IF(FacingSheet!$B$11=50,IF(ISERROR(((((H109*1440)-105)*60)-((((H109*1440)-105)^1.6))/2)/86400),"",((((H109*1440)-105)*60)-((((H109*1440)-105)^1.6))/2)/86400),"")</f>
        <v/>
      </c>
      <c r="O109" s="100" t="str">
        <f>IF(FacingSheet!$B$11=100,IF(ISERROR(((((H109*1440)-230)*60)-((((H109*1440)-230)^1.6))/4)/86400),"",((((H109*1440)-230)*60)-((((H109*1440)-230)^1.6))/4)/86400),"")</f>
        <v/>
      </c>
      <c r="P109" s="108" t="str">
        <f>IF(FacingSheet!$B$11=10,J109,IF(FacingSheet!$B$11=15,K109,IF(FacingSheet!$B$11=25,L109,IF(FacingSheet!$B$11=30,M109,IF(FacingSheet!$B$11=50,N109,IF(FacingSheet!$B$11=100,O109,""))))))</f>
        <v/>
      </c>
      <c r="Q109" s="65" t="str">
        <f>IF(OR(F109="V",F109="FV"),IF(I109="","",IF(MONTH(FacingSheet!$S$9)&gt;MONTH(I109),YEAR(FacingSheet!$S$9)-YEAR(I109),IF(AND(MONTH(FacingSheet!$S$9)=MONTH(I109),DAY(FacingSheet!$S$9)&gt;=DAY(I109)),YEAR(FacingSheet!$S$9)-YEAR(I109),(YEAR(FacingSheet!$S$9)-YEAR(I109))-1))),"")</f>
        <v/>
      </c>
      <c r="R109" s="108" t="str">
        <f>IF(Q109="","",IF(FacingSheet!$B$11=10,VLOOKUP(Q109,Age,2,FALSE),IF(FacingSheet!$B$11=15,VLOOKUP(Q109,Age,3,FALSE),IF(FacingSheet!$B$11=25,VLOOKUP(Q109,Age,4,FALSE),IF(FacingSheet!$B$11=30,VLOOKUP(Q109,Age,5,FALSE),IF(FacingSheet!$B$11=50,VLOOKUP(Q109,Age,6,FALSE),IF(FacingSheet!$B$11=100,VLOOKUP(Q109,Age,7,FALSE),"")))))))</f>
        <v/>
      </c>
      <c r="S109" s="108" t="str">
        <f>IF(Q109="","",IF(FacingSheet!$B$11=10,VLOOKUP(Q109,AgeF,2,FALSE),IF(FacingSheet!$B$11=15,VLOOKUP(Q109,AgeF,3,FALSE),IF(FacingSheet!$B$11=25,VLOOKUP(Q109,AgeF,4,FALSE),IF(FacingSheet!$B$11=30,VLOOKUP(Q109,AgeF,5,FALSE),IF(FacingSheet!$B$11=50,VLOOKUP(Q109,AgeF,6,FALSE),IF(FacingSheet!$B$11=100,VLOOKUP(Q109,AgeF,7,FALSE),"")))))))</f>
        <v/>
      </c>
      <c r="T109" s="108" t="str">
        <f t="shared" si="4"/>
        <v/>
      </c>
      <c r="U109" s="29"/>
      <c r="V109" s="29"/>
      <c r="W109" s="29"/>
      <c r="X109" s="132"/>
      <c r="Y109" s="132"/>
      <c r="Z109" s="132"/>
    </row>
    <row r="110" spans="1:26">
      <c r="A110" s="36"/>
      <c r="B110" s="133"/>
      <c r="C110" s="133"/>
      <c r="D110" s="106" t="str">
        <f t="shared" si="3"/>
        <v xml:space="preserve"> </v>
      </c>
      <c r="E110" s="29"/>
      <c r="F110" s="29"/>
      <c r="G110" s="29"/>
      <c r="H110" s="193"/>
      <c r="I110" s="131"/>
      <c r="J110" s="100" t="str">
        <f>IF(FacingSheet!$B$11=10,IF(ISERROR(((((H110*1440)-20)*60)-(((H110*1440)-20)^1.6)*2.5)/86400),"",((((H110*1440)-20)*60)-(((H110*1440)-20)^1.6)*2.5)/86400),"")</f>
        <v/>
      </c>
      <c r="K110" s="100" t="str">
        <f>IF(FacingSheet!$B$11=15,IF(ISERROR(((((H110*1440)-33)*60)-(((H110*1440)-33)^1.6)*1.667)/86400),"",((((H110*1440)-33)*60)-(((H110*1440)-33)^1.6)*1.667)/86400),"")</f>
        <v/>
      </c>
      <c r="L110" s="100" t="str">
        <f>IF(FacingSheet!$B$11=25,IF(ISERROR(((((H110*1440)-50)*60)-(((H110*1440)-50)^1.6))/86400),"",((((H110*1440)-50)*60)-(((H110*1440)-50)^1.6))/86400),"")</f>
        <v/>
      </c>
      <c r="M110" s="100" t="str">
        <f>IF(FacingSheet!$B$11=30,IF(ISERROR(((((H110*1440)-60)*60)-((((H110*1440)-60)^1.6))/1.2)/86400),"",((((H110*1440)-60)*60)-((((H110*1440)-60)^1.6))/1.2)/86400),"")</f>
        <v/>
      </c>
      <c r="N110" s="100" t="str">
        <f>IF(FacingSheet!$B$11=50,IF(ISERROR(((((H110*1440)-105)*60)-((((H110*1440)-105)^1.6))/2)/86400),"",((((H110*1440)-105)*60)-((((H110*1440)-105)^1.6))/2)/86400),"")</f>
        <v/>
      </c>
      <c r="O110" s="100" t="str">
        <f>IF(FacingSheet!$B$11=100,IF(ISERROR(((((H110*1440)-230)*60)-((((H110*1440)-230)^1.6))/4)/86400),"",((((H110*1440)-230)*60)-((((H110*1440)-230)^1.6))/4)/86400),"")</f>
        <v/>
      </c>
      <c r="P110" s="108" t="str">
        <f>IF(FacingSheet!$B$11=10,J110,IF(FacingSheet!$B$11=15,K110,IF(FacingSheet!$B$11=25,L110,IF(FacingSheet!$B$11=30,M110,IF(FacingSheet!$B$11=50,N110,IF(FacingSheet!$B$11=100,O110,""))))))</f>
        <v/>
      </c>
      <c r="Q110" s="65" t="str">
        <f>IF(OR(F110="V",F110="FV"),IF(I110="","",IF(MONTH(FacingSheet!$S$9)&gt;MONTH(I110),YEAR(FacingSheet!$S$9)-YEAR(I110),IF(AND(MONTH(FacingSheet!$S$9)=MONTH(I110),DAY(FacingSheet!$S$9)&gt;=DAY(I110)),YEAR(FacingSheet!$S$9)-YEAR(I110),(YEAR(FacingSheet!$S$9)-YEAR(I110))-1))),"")</f>
        <v/>
      </c>
      <c r="R110" s="108" t="str">
        <f>IF(Q110="","",IF(FacingSheet!$B$11=10,VLOOKUP(Q110,Age,2,FALSE),IF(FacingSheet!$B$11=15,VLOOKUP(Q110,Age,3,FALSE),IF(FacingSheet!$B$11=25,VLOOKUP(Q110,Age,4,FALSE),IF(FacingSheet!$B$11=30,VLOOKUP(Q110,Age,5,FALSE),IF(FacingSheet!$B$11=50,VLOOKUP(Q110,Age,6,FALSE),IF(FacingSheet!$B$11=100,VLOOKUP(Q110,Age,7,FALSE),"")))))))</f>
        <v/>
      </c>
      <c r="S110" s="108" t="str">
        <f>IF(Q110="","",IF(FacingSheet!$B$11=10,VLOOKUP(Q110,AgeF,2,FALSE),IF(FacingSheet!$B$11=15,VLOOKUP(Q110,AgeF,3,FALSE),IF(FacingSheet!$B$11=25,VLOOKUP(Q110,AgeF,4,FALSE),IF(FacingSheet!$B$11=30,VLOOKUP(Q110,AgeF,5,FALSE),IF(FacingSheet!$B$11=50,VLOOKUP(Q110,AgeF,6,FALSE),IF(FacingSheet!$B$11=100,VLOOKUP(Q110,AgeF,7,FALSE),"")))))))</f>
        <v/>
      </c>
      <c r="T110" s="108" t="str">
        <f t="shared" si="4"/>
        <v/>
      </c>
      <c r="U110" s="29"/>
      <c r="V110" s="29"/>
      <c r="W110" s="29"/>
      <c r="X110" s="132"/>
      <c r="Y110" s="132"/>
      <c r="Z110" s="132"/>
    </row>
    <row r="111" spans="1:26">
      <c r="A111" s="36"/>
      <c r="B111" s="133"/>
      <c r="C111" s="133"/>
      <c r="D111" s="106" t="str">
        <f t="shared" si="3"/>
        <v xml:space="preserve"> </v>
      </c>
      <c r="E111" s="29"/>
      <c r="F111" s="29"/>
      <c r="G111" s="29"/>
      <c r="H111" s="193"/>
      <c r="I111" s="131"/>
      <c r="J111" s="100" t="str">
        <f>IF(FacingSheet!$B$11=10,IF(ISERROR(((((H111*1440)-20)*60)-(((H111*1440)-20)^1.6)*2.5)/86400),"",((((H111*1440)-20)*60)-(((H111*1440)-20)^1.6)*2.5)/86400),"")</f>
        <v/>
      </c>
      <c r="K111" s="100" t="str">
        <f>IF(FacingSheet!$B$11=15,IF(ISERROR(((((H111*1440)-33)*60)-(((H111*1440)-33)^1.6)*1.667)/86400),"",((((H111*1440)-33)*60)-(((H111*1440)-33)^1.6)*1.667)/86400),"")</f>
        <v/>
      </c>
      <c r="L111" s="100" t="str">
        <f>IF(FacingSheet!$B$11=25,IF(ISERROR(((((H111*1440)-50)*60)-(((H111*1440)-50)^1.6))/86400),"",((((H111*1440)-50)*60)-(((H111*1440)-50)^1.6))/86400),"")</f>
        <v/>
      </c>
      <c r="M111" s="100" t="str">
        <f>IF(FacingSheet!$B$11=30,IF(ISERROR(((((H111*1440)-60)*60)-((((H111*1440)-60)^1.6))/1.2)/86400),"",((((H111*1440)-60)*60)-((((H111*1440)-60)^1.6))/1.2)/86400),"")</f>
        <v/>
      </c>
      <c r="N111" s="100" t="str">
        <f>IF(FacingSheet!$B$11=50,IF(ISERROR(((((H111*1440)-105)*60)-((((H111*1440)-105)^1.6))/2)/86400),"",((((H111*1440)-105)*60)-((((H111*1440)-105)^1.6))/2)/86400),"")</f>
        <v/>
      </c>
      <c r="O111" s="100" t="str">
        <f>IF(FacingSheet!$B$11=100,IF(ISERROR(((((H111*1440)-230)*60)-((((H111*1440)-230)^1.6))/4)/86400),"",((((H111*1440)-230)*60)-((((H111*1440)-230)^1.6))/4)/86400),"")</f>
        <v/>
      </c>
      <c r="P111" s="108" t="str">
        <f>IF(FacingSheet!$B$11=10,J111,IF(FacingSheet!$B$11=15,K111,IF(FacingSheet!$B$11=25,L111,IF(FacingSheet!$B$11=30,M111,IF(FacingSheet!$B$11=50,N111,IF(FacingSheet!$B$11=100,O111,""))))))</f>
        <v/>
      </c>
      <c r="Q111" s="65" t="str">
        <f>IF(OR(F111="V",F111="FV"),IF(I111="","",IF(MONTH(FacingSheet!$S$9)&gt;MONTH(I111),YEAR(FacingSheet!$S$9)-YEAR(I111),IF(AND(MONTH(FacingSheet!$S$9)=MONTH(I111),DAY(FacingSheet!$S$9)&gt;=DAY(I111)),YEAR(FacingSheet!$S$9)-YEAR(I111),(YEAR(FacingSheet!$S$9)-YEAR(I111))-1))),"")</f>
        <v/>
      </c>
      <c r="R111" s="108" t="str">
        <f>IF(Q111="","",IF(FacingSheet!$B$11=10,VLOOKUP(Q111,Age,2,FALSE),IF(FacingSheet!$B$11=15,VLOOKUP(Q111,Age,3,FALSE),IF(FacingSheet!$B$11=25,VLOOKUP(Q111,Age,4,FALSE),IF(FacingSheet!$B$11=30,VLOOKUP(Q111,Age,5,FALSE),IF(FacingSheet!$B$11=50,VLOOKUP(Q111,Age,6,FALSE),IF(FacingSheet!$B$11=100,VLOOKUP(Q111,Age,7,FALSE),"")))))))</f>
        <v/>
      </c>
      <c r="S111" s="108" t="str">
        <f>IF(Q111="","",IF(FacingSheet!$B$11=10,VLOOKUP(Q111,AgeF,2,FALSE),IF(FacingSheet!$B$11=15,VLOOKUP(Q111,AgeF,3,FALSE),IF(FacingSheet!$B$11=25,VLOOKUP(Q111,AgeF,4,FALSE),IF(FacingSheet!$B$11=30,VLOOKUP(Q111,AgeF,5,FALSE),IF(FacingSheet!$B$11=50,VLOOKUP(Q111,AgeF,6,FALSE),IF(FacingSheet!$B$11=100,VLOOKUP(Q111,AgeF,7,FALSE),"")))))))</f>
        <v/>
      </c>
      <c r="T111" s="108" t="str">
        <f t="shared" si="4"/>
        <v/>
      </c>
      <c r="U111" s="29"/>
      <c r="V111" s="29"/>
      <c r="W111" s="29"/>
      <c r="X111" s="132"/>
      <c r="Y111" s="132"/>
      <c r="Z111" s="132"/>
    </row>
    <row r="112" spans="1:26">
      <c r="A112" s="36"/>
      <c r="B112" s="133"/>
      <c r="C112" s="133"/>
      <c r="D112" s="106" t="str">
        <f t="shared" si="3"/>
        <v xml:space="preserve"> </v>
      </c>
      <c r="E112" s="29"/>
      <c r="F112" s="29"/>
      <c r="G112" s="29"/>
      <c r="H112" s="193"/>
      <c r="I112" s="131"/>
      <c r="J112" s="100" t="str">
        <f>IF(FacingSheet!$B$11=10,IF(ISERROR(((((H112*1440)-20)*60)-(((H112*1440)-20)^1.6)*2.5)/86400),"",((((H112*1440)-20)*60)-(((H112*1440)-20)^1.6)*2.5)/86400),"")</f>
        <v/>
      </c>
      <c r="K112" s="100" t="str">
        <f>IF(FacingSheet!$B$11=15,IF(ISERROR(((((H112*1440)-33)*60)-(((H112*1440)-33)^1.6)*1.667)/86400),"",((((H112*1440)-33)*60)-(((H112*1440)-33)^1.6)*1.667)/86400),"")</f>
        <v/>
      </c>
      <c r="L112" s="100" t="str">
        <f>IF(FacingSheet!$B$11=25,IF(ISERROR(((((H112*1440)-50)*60)-(((H112*1440)-50)^1.6))/86400),"",((((H112*1440)-50)*60)-(((H112*1440)-50)^1.6))/86400),"")</f>
        <v/>
      </c>
      <c r="M112" s="100" t="str">
        <f>IF(FacingSheet!$B$11=30,IF(ISERROR(((((H112*1440)-60)*60)-((((H112*1440)-60)^1.6))/1.2)/86400),"",((((H112*1440)-60)*60)-((((H112*1440)-60)^1.6))/1.2)/86400),"")</f>
        <v/>
      </c>
      <c r="N112" s="100" t="str">
        <f>IF(FacingSheet!$B$11=50,IF(ISERROR(((((H112*1440)-105)*60)-((((H112*1440)-105)^1.6))/2)/86400),"",((((H112*1440)-105)*60)-((((H112*1440)-105)^1.6))/2)/86400),"")</f>
        <v/>
      </c>
      <c r="O112" s="100" t="str">
        <f>IF(FacingSheet!$B$11=100,IF(ISERROR(((((H112*1440)-230)*60)-((((H112*1440)-230)^1.6))/4)/86400),"",((((H112*1440)-230)*60)-((((H112*1440)-230)^1.6))/4)/86400),"")</f>
        <v/>
      </c>
      <c r="P112" s="108" t="str">
        <f>IF(FacingSheet!$B$11=10,J112,IF(FacingSheet!$B$11=15,K112,IF(FacingSheet!$B$11=25,L112,IF(FacingSheet!$B$11=30,M112,IF(FacingSheet!$B$11=50,N112,IF(FacingSheet!$B$11=100,O112,""))))))</f>
        <v/>
      </c>
      <c r="Q112" s="65" t="str">
        <f>IF(OR(F112="V",F112="FV"),IF(I112="","",IF(MONTH(FacingSheet!$S$9)&gt;MONTH(I112),YEAR(FacingSheet!$S$9)-YEAR(I112),IF(AND(MONTH(FacingSheet!$S$9)=MONTH(I112),DAY(FacingSheet!$S$9)&gt;=DAY(I112)),YEAR(FacingSheet!$S$9)-YEAR(I112),(YEAR(FacingSheet!$S$9)-YEAR(I112))-1))),"")</f>
        <v/>
      </c>
      <c r="R112" s="108" t="str">
        <f>IF(Q112="","",IF(FacingSheet!$B$11=10,VLOOKUP(Q112,Age,2,FALSE),IF(FacingSheet!$B$11=15,VLOOKUP(Q112,Age,3,FALSE),IF(FacingSheet!$B$11=25,VLOOKUP(Q112,Age,4,FALSE),IF(FacingSheet!$B$11=30,VLOOKUP(Q112,Age,5,FALSE),IF(FacingSheet!$B$11=50,VLOOKUP(Q112,Age,6,FALSE),IF(FacingSheet!$B$11=100,VLOOKUP(Q112,Age,7,FALSE),"")))))))</f>
        <v/>
      </c>
      <c r="S112" s="108" t="str">
        <f>IF(Q112="","",IF(FacingSheet!$B$11=10,VLOOKUP(Q112,AgeF,2,FALSE),IF(FacingSheet!$B$11=15,VLOOKUP(Q112,AgeF,3,FALSE),IF(FacingSheet!$B$11=25,VLOOKUP(Q112,AgeF,4,FALSE),IF(FacingSheet!$B$11=30,VLOOKUP(Q112,AgeF,5,FALSE),IF(FacingSheet!$B$11=50,VLOOKUP(Q112,AgeF,6,FALSE),IF(FacingSheet!$B$11=100,VLOOKUP(Q112,AgeF,7,FALSE),"")))))))</f>
        <v/>
      </c>
      <c r="T112" s="108" t="str">
        <f t="shared" si="4"/>
        <v/>
      </c>
      <c r="U112" s="29"/>
      <c r="V112" s="29"/>
      <c r="W112" s="29"/>
      <c r="X112" s="132"/>
      <c r="Y112" s="132"/>
      <c r="Z112" s="132"/>
    </row>
    <row r="113" spans="1:26">
      <c r="A113" s="36"/>
      <c r="B113" s="133"/>
      <c r="C113" s="133"/>
      <c r="D113" s="106" t="str">
        <f t="shared" si="3"/>
        <v xml:space="preserve"> </v>
      </c>
      <c r="E113" s="29"/>
      <c r="F113" s="29"/>
      <c r="G113" s="29"/>
      <c r="H113" s="193"/>
      <c r="I113" s="131"/>
      <c r="J113" s="100" t="str">
        <f>IF(FacingSheet!$B$11=10,IF(ISERROR(((((H113*1440)-20)*60)-(((H113*1440)-20)^1.6)*2.5)/86400),"",((((H113*1440)-20)*60)-(((H113*1440)-20)^1.6)*2.5)/86400),"")</f>
        <v/>
      </c>
      <c r="K113" s="100" t="str">
        <f>IF(FacingSheet!$B$11=15,IF(ISERROR(((((H113*1440)-33)*60)-(((H113*1440)-33)^1.6)*1.667)/86400),"",((((H113*1440)-33)*60)-(((H113*1440)-33)^1.6)*1.667)/86400),"")</f>
        <v/>
      </c>
      <c r="L113" s="100" t="str">
        <f>IF(FacingSheet!$B$11=25,IF(ISERROR(((((H113*1440)-50)*60)-(((H113*1440)-50)^1.6))/86400),"",((((H113*1440)-50)*60)-(((H113*1440)-50)^1.6))/86400),"")</f>
        <v/>
      </c>
      <c r="M113" s="100" t="str">
        <f>IF(FacingSheet!$B$11=30,IF(ISERROR(((((H113*1440)-60)*60)-((((H113*1440)-60)^1.6))/1.2)/86400),"",((((H113*1440)-60)*60)-((((H113*1440)-60)^1.6))/1.2)/86400),"")</f>
        <v/>
      </c>
      <c r="N113" s="100" t="str">
        <f>IF(FacingSheet!$B$11=50,IF(ISERROR(((((H113*1440)-105)*60)-((((H113*1440)-105)^1.6))/2)/86400),"",((((H113*1440)-105)*60)-((((H113*1440)-105)^1.6))/2)/86400),"")</f>
        <v/>
      </c>
      <c r="O113" s="100" t="str">
        <f>IF(FacingSheet!$B$11=100,IF(ISERROR(((((H113*1440)-230)*60)-((((H113*1440)-230)^1.6))/4)/86400),"",((((H113*1440)-230)*60)-((((H113*1440)-230)^1.6))/4)/86400),"")</f>
        <v/>
      </c>
      <c r="P113" s="108" t="str">
        <f>IF(FacingSheet!$B$11=10,J113,IF(FacingSheet!$B$11=15,K113,IF(FacingSheet!$B$11=25,L113,IF(FacingSheet!$B$11=30,M113,IF(FacingSheet!$B$11=50,N113,IF(FacingSheet!$B$11=100,O113,""))))))</f>
        <v/>
      </c>
      <c r="Q113" s="65" t="str">
        <f>IF(OR(F113="V",F113="FV"),IF(I113="","",IF(MONTH(FacingSheet!$S$9)&gt;MONTH(I113),YEAR(FacingSheet!$S$9)-YEAR(I113),IF(AND(MONTH(FacingSheet!$S$9)=MONTH(I113),DAY(FacingSheet!$S$9)&gt;=DAY(I113)),YEAR(FacingSheet!$S$9)-YEAR(I113),(YEAR(FacingSheet!$S$9)-YEAR(I113))-1))),"")</f>
        <v/>
      </c>
      <c r="R113" s="108" t="str">
        <f>IF(Q113="","",IF(FacingSheet!$B$11=10,VLOOKUP(Q113,Age,2,FALSE),IF(FacingSheet!$B$11=15,VLOOKUP(Q113,Age,3,FALSE),IF(FacingSheet!$B$11=25,VLOOKUP(Q113,Age,4,FALSE),IF(FacingSheet!$B$11=30,VLOOKUP(Q113,Age,5,FALSE),IF(FacingSheet!$B$11=50,VLOOKUP(Q113,Age,6,FALSE),IF(FacingSheet!$B$11=100,VLOOKUP(Q113,Age,7,FALSE),"")))))))</f>
        <v/>
      </c>
      <c r="S113" s="108" t="str">
        <f>IF(Q113="","",IF(FacingSheet!$B$11=10,VLOOKUP(Q113,AgeF,2,FALSE),IF(FacingSheet!$B$11=15,VLOOKUP(Q113,AgeF,3,FALSE),IF(FacingSheet!$B$11=25,VLOOKUP(Q113,AgeF,4,FALSE),IF(FacingSheet!$B$11=30,VLOOKUP(Q113,AgeF,5,FALSE),IF(FacingSheet!$B$11=50,VLOOKUP(Q113,AgeF,6,FALSE),IF(FacingSheet!$B$11=100,VLOOKUP(Q113,AgeF,7,FALSE),"")))))))</f>
        <v/>
      </c>
      <c r="T113" s="108" t="str">
        <f t="shared" si="4"/>
        <v/>
      </c>
      <c r="U113" s="29"/>
      <c r="V113" s="29"/>
      <c r="W113" s="29"/>
      <c r="X113" s="132"/>
      <c r="Y113" s="132"/>
      <c r="Z113" s="132"/>
    </row>
    <row r="114" spans="1:26">
      <c r="A114" s="36"/>
      <c r="B114" s="133"/>
      <c r="C114" s="133"/>
      <c r="D114" s="106" t="str">
        <f t="shared" si="3"/>
        <v xml:space="preserve"> </v>
      </c>
      <c r="E114" s="29"/>
      <c r="F114" s="29"/>
      <c r="G114" s="29"/>
      <c r="H114" s="193"/>
      <c r="I114" s="131"/>
      <c r="J114" s="100" t="str">
        <f>IF(FacingSheet!$B$11=10,IF(ISERROR(((((H114*1440)-20)*60)-(((H114*1440)-20)^1.6)*2.5)/86400),"",((((H114*1440)-20)*60)-(((H114*1440)-20)^1.6)*2.5)/86400),"")</f>
        <v/>
      </c>
      <c r="K114" s="100" t="str">
        <f>IF(FacingSheet!$B$11=15,IF(ISERROR(((((H114*1440)-33)*60)-(((H114*1440)-33)^1.6)*1.667)/86400),"",((((H114*1440)-33)*60)-(((H114*1440)-33)^1.6)*1.667)/86400),"")</f>
        <v/>
      </c>
      <c r="L114" s="100" t="str">
        <f>IF(FacingSheet!$B$11=25,IF(ISERROR(((((H114*1440)-50)*60)-(((H114*1440)-50)^1.6))/86400),"",((((H114*1440)-50)*60)-(((H114*1440)-50)^1.6))/86400),"")</f>
        <v/>
      </c>
      <c r="M114" s="100" t="str">
        <f>IF(FacingSheet!$B$11=30,IF(ISERROR(((((H114*1440)-60)*60)-((((H114*1440)-60)^1.6))/1.2)/86400),"",((((H114*1440)-60)*60)-((((H114*1440)-60)^1.6))/1.2)/86400),"")</f>
        <v/>
      </c>
      <c r="N114" s="100" t="str">
        <f>IF(FacingSheet!$B$11=50,IF(ISERROR(((((H114*1440)-105)*60)-((((H114*1440)-105)^1.6))/2)/86400),"",((((H114*1440)-105)*60)-((((H114*1440)-105)^1.6))/2)/86400),"")</f>
        <v/>
      </c>
      <c r="O114" s="100" t="str">
        <f>IF(FacingSheet!$B$11=100,IF(ISERROR(((((H114*1440)-230)*60)-((((H114*1440)-230)^1.6))/4)/86400),"",((((H114*1440)-230)*60)-((((H114*1440)-230)^1.6))/4)/86400),"")</f>
        <v/>
      </c>
      <c r="P114" s="108" t="str">
        <f>IF(FacingSheet!$B$11=10,J114,IF(FacingSheet!$B$11=15,K114,IF(FacingSheet!$B$11=25,L114,IF(FacingSheet!$B$11=30,M114,IF(FacingSheet!$B$11=50,N114,IF(FacingSheet!$B$11=100,O114,""))))))</f>
        <v/>
      </c>
      <c r="Q114" s="65" t="str">
        <f>IF(OR(F114="V",F114="FV"),IF(I114="","",IF(MONTH(FacingSheet!$S$9)&gt;MONTH(I114),YEAR(FacingSheet!$S$9)-YEAR(I114),IF(AND(MONTH(FacingSheet!$S$9)=MONTH(I114),DAY(FacingSheet!$S$9)&gt;=DAY(I114)),YEAR(FacingSheet!$S$9)-YEAR(I114),(YEAR(FacingSheet!$S$9)-YEAR(I114))-1))),"")</f>
        <v/>
      </c>
      <c r="R114" s="108" t="str">
        <f>IF(Q114="","",IF(FacingSheet!$B$11=10,VLOOKUP(Q114,Age,2,FALSE),IF(FacingSheet!$B$11=15,VLOOKUP(Q114,Age,3,FALSE),IF(FacingSheet!$B$11=25,VLOOKUP(Q114,Age,4,FALSE),IF(FacingSheet!$B$11=30,VLOOKUP(Q114,Age,5,FALSE),IF(FacingSheet!$B$11=50,VLOOKUP(Q114,Age,6,FALSE),IF(FacingSheet!$B$11=100,VLOOKUP(Q114,Age,7,FALSE),"")))))))</f>
        <v/>
      </c>
      <c r="S114" s="108" t="str">
        <f>IF(Q114="","",IF(FacingSheet!$B$11=10,VLOOKUP(Q114,AgeF,2,FALSE),IF(FacingSheet!$B$11=15,VLOOKUP(Q114,AgeF,3,FALSE),IF(FacingSheet!$B$11=25,VLOOKUP(Q114,AgeF,4,FALSE),IF(FacingSheet!$B$11=30,VLOOKUP(Q114,AgeF,5,FALSE),IF(FacingSheet!$B$11=50,VLOOKUP(Q114,AgeF,6,FALSE),IF(FacingSheet!$B$11=100,VLOOKUP(Q114,AgeF,7,FALSE),"")))))))</f>
        <v/>
      </c>
      <c r="T114" s="108" t="str">
        <f t="shared" si="4"/>
        <v/>
      </c>
      <c r="U114" s="29"/>
      <c r="V114" s="29"/>
      <c r="W114" s="29"/>
      <c r="X114" s="132"/>
      <c r="Y114" s="132"/>
      <c r="Z114" s="132"/>
    </row>
    <row r="115" spans="1:26">
      <c r="A115" s="36"/>
      <c r="B115" s="133"/>
      <c r="C115" s="133"/>
      <c r="D115" s="106" t="str">
        <f t="shared" si="3"/>
        <v xml:space="preserve"> </v>
      </c>
      <c r="E115" s="29"/>
      <c r="F115" s="29"/>
      <c r="G115" s="29"/>
      <c r="H115" s="193"/>
      <c r="I115" s="131"/>
      <c r="J115" s="100" t="str">
        <f>IF(FacingSheet!$B$11=10,IF(ISERROR(((((H115*1440)-20)*60)-(((H115*1440)-20)^1.6)*2.5)/86400),"",((((H115*1440)-20)*60)-(((H115*1440)-20)^1.6)*2.5)/86400),"")</f>
        <v/>
      </c>
      <c r="K115" s="100" t="str">
        <f>IF(FacingSheet!$B$11=15,IF(ISERROR(((((H115*1440)-33)*60)-(((H115*1440)-33)^1.6)*1.667)/86400),"",((((H115*1440)-33)*60)-(((H115*1440)-33)^1.6)*1.667)/86400),"")</f>
        <v/>
      </c>
      <c r="L115" s="100" t="str">
        <f>IF(FacingSheet!$B$11=25,IF(ISERROR(((((H115*1440)-50)*60)-(((H115*1440)-50)^1.6))/86400),"",((((H115*1440)-50)*60)-(((H115*1440)-50)^1.6))/86400),"")</f>
        <v/>
      </c>
      <c r="M115" s="100" t="str">
        <f>IF(FacingSheet!$B$11=30,IF(ISERROR(((((H115*1440)-60)*60)-((((H115*1440)-60)^1.6))/1.2)/86400),"",((((H115*1440)-60)*60)-((((H115*1440)-60)^1.6))/1.2)/86400),"")</f>
        <v/>
      </c>
      <c r="N115" s="100" t="str">
        <f>IF(FacingSheet!$B$11=50,IF(ISERROR(((((H115*1440)-105)*60)-((((H115*1440)-105)^1.6))/2)/86400),"",((((H115*1440)-105)*60)-((((H115*1440)-105)^1.6))/2)/86400),"")</f>
        <v/>
      </c>
      <c r="O115" s="100" t="str">
        <f>IF(FacingSheet!$B$11=100,IF(ISERROR(((((H115*1440)-230)*60)-((((H115*1440)-230)^1.6))/4)/86400),"",((((H115*1440)-230)*60)-((((H115*1440)-230)^1.6))/4)/86400),"")</f>
        <v/>
      </c>
      <c r="P115" s="108" t="str">
        <f>IF(FacingSheet!$B$11=10,J115,IF(FacingSheet!$B$11=15,K115,IF(FacingSheet!$B$11=25,L115,IF(FacingSheet!$B$11=30,M115,IF(FacingSheet!$B$11=50,N115,IF(FacingSheet!$B$11=100,O115,""))))))</f>
        <v/>
      </c>
      <c r="Q115" s="65" t="str">
        <f>IF(OR(F115="V",F115="FV"),IF(I115="","",IF(MONTH(FacingSheet!$S$9)&gt;MONTH(I115),YEAR(FacingSheet!$S$9)-YEAR(I115),IF(AND(MONTH(FacingSheet!$S$9)=MONTH(I115),DAY(FacingSheet!$S$9)&gt;=DAY(I115)),YEAR(FacingSheet!$S$9)-YEAR(I115),(YEAR(FacingSheet!$S$9)-YEAR(I115))-1))),"")</f>
        <v/>
      </c>
      <c r="R115" s="108" t="str">
        <f>IF(Q115="","",IF(FacingSheet!$B$11=10,VLOOKUP(Q115,Age,2,FALSE),IF(FacingSheet!$B$11=15,VLOOKUP(Q115,Age,3,FALSE),IF(FacingSheet!$B$11=25,VLOOKUP(Q115,Age,4,FALSE),IF(FacingSheet!$B$11=30,VLOOKUP(Q115,Age,5,FALSE),IF(FacingSheet!$B$11=50,VLOOKUP(Q115,Age,6,FALSE),IF(FacingSheet!$B$11=100,VLOOKUP(Q115,Age,7,FALSE),"")))))))</f>
        <v/>
      </c>
      <c r="S115" s="108" t="str">
        <f>IF(Q115="","",IF(FacingSheet!$B$11=10,VLOOKUP(Q115,AgeF,2,FALSE),IF(FacingSheet!$B$11=15,VLOOKUP(Q115,AgeF,3,FALSE),IF(FacingSheet!$B$11=25,VLOOKUP(Q115,AgeF,4,FALSE),IF(FacingSheet!$B$11=30,VLOOKUP(Q115,AgeF,5,FALSE),IF(FacingSheet!$B$11=50,VLOOKUP(Q115,AgeF,6,FALSE),IF(FacingSheet!$B$11=100,VLOOKUP(Q115,AgeF,7,FALSE),"")))))))</f>
        <v/>
      </c>
      <c r="T115" s="108" t="str">
        <f t="shared" si="4"/>
        <v/>
      </c>
      <c r="U115" s="29"/>
      <c r="V115" s="29"/>
      <c r="W115" s="29"/>
      <c r="X115" s="132"/>
      <c r="Y115" s="132"/>
      <c r="Z115" s="132"/>
    </row>
    <row r="116" spans="1:26">
      <c r="A116" s="36"/>
      <c r="B116" s="133"/>
      <c r="C116" s="133"/>
      <c r="D116" s="106" t="str">
        <f t="shared" si="3"/>
        <v xml:space="preserve"> </v>
      </c>
      <c r="E116" s="29"/>
      <c r="F116" s="29"/>
      <c r="G116" s="29"/>
      <c r="H116" s="193"/>
      <c r="I116" s="131"/>
      <c r="J116" s="100" t="str">
        <f>IF(FacingSheet!$B$11=10,IF(ISERROR(((((H116*1440)-20)*60)-(((H116*1440)-20)^1.6)*2.5)/86400),"",((((H116*1440)-20)*60)-(((H116*1440)-20)^1.6)*2.5)/86400),"")</f>
        <v/>
      </c>
      <c r="K116" s="100" t="str">
        <f>IF(FacingSheet!$B$11=15,IF(ISERROR(((((H116*1440)-33)*60)-(((H116*1440)-33)^1.6)*1.667)/86400),"",((((H116*1440)-33)*60)-(((H116*1440)-33)^1.6)*1.667)/86400),"")</f>
        <v/>
      </c>
      <c r="L116" s="100" t="str">
        <f>IF(FacingSheet!$B$11=25,IF(ISERROR(((((H116*1440)-50)*60)-(((H116*1440)-50)^1.6))/86400),"",((((H116*1440)-50)*60)-(((H116*1440)-50)^1.6))/86400),"")</f>
        <v/>
      </c>
      <c r="M116" s="100" t="str">
        <f>IF(FacingSheet!$B$11=30,IF(ISERROR(((((H116*1440)-60)*60)-((((H116*1440)-60)^1.6))/1.2)/86400),"",((((H116*1440)-60)*60)-((((H116*1440)-60)^1.6))/1.2)/86400),"")</f>
        <v/>
      </c>
      <c r="N116" s="100" t="str">
        <f>IF(FacingSheet!$B$11=50,IF(ISERROR(((((H116*1440)-105)*60)-((((H116*1440)-105)^1.6))/2)/86400),"",((((H116*1440)-105)*60)-((((H116*1440)-105)^1.6))/2)/86400),"")</f>
        <v/>
      </c>
      <c r="O116" s="100" t="str">
        <f>IF(FacingSheet!$B$11=100,IF(ISERROR(((((H116*1440)-230)*60)-((((H116*1440)-230)^1.6))/4)/86400),"",((((H116*1440)-230)*60)-((((H116*1440)-230)^1.6))/4)/86400),"")</f>
        <v/>
      </c>
      <c r="P116" s="108" t="str">
        <f>IF(FacingSheet!$B$11=10,J116,IF(FacingSheet!$B$11=15,K116,IF(FacingSheet!$B$11=25,L116,IF(FacingSheet!$B$11=30,M116,IF(FacingSheet!$B$11=50,N116,IF(FacingSheet!$B$11=100,O116,""))))))</f>
        <v/>
      </c>
      <c r="Q116" s="65" t="str">
        <f>IF(OR(F116="V",F116="FV"),IF(I116="","",IF(MONTH(FacingSheet!$S$9)&gt;MONTH(I116),YEAR(FacingSheet!$S$9)-YEAR(I116),IF(AND(MONTH(FacingSheet!$S$9)=MONTH(I116),DAY(FacingSheet!$S$9)&gt;=DAY(I116)),YEAR(FacingSheet!$S$9)-YEAR(I116),(YEAR(FacingSheet!$S$9)-YEAR(I116))-1))),"")</f>
        <v/>
      </c>
      <c r="R116" s="108" t="str">
        <f>IF(Q116="","",IF(FacingSheet!$B$11=10,VLOOKUP(Q116,Age,2,FALSE),IF(FacingSheet!$B$11=15,VLOOKUP(Q116,Age,3,FALSE),IF(FacingSheet!$B$11=25,VLOOKUP(Q116,Age,4,FALSE),IF(FacingSheet!$B$11=30,VLOOKUP(Q116,Age,5,FALSE),IF(FacingSheet!$B$11=50,VLOOKUP(Q116,Age,6,FALSE),IF(FacingSheet!$B$11=100,VLOOKUP(Q116,Age,7,FALSE),"")))))))</f>
        <v/>
      </c>
      <c r="S116" s="108" t="str">
        <f>IF(Q116="","",IF(FacingSheet!$B$11=10,VLOOKUP(Q116,AgeF,2,FALSE),IF(FacingSheet!$B$11=15,VLOOKUP(Q116,AgeF,3,FALSE),IF(FacingSheet!$B$11=25,VLOOKUP(Q116,AgeF,4,FALSE),IF(FacingSheet!$B$11=30,VLOOKUP(Q116,AgeF,5,FALSE),IF(FacingSheet!$B$11=50,VLOOKUP(Q116,AgeF,6,FALSE),IF(FacingSheet!$B$11=100,VLOOKUP(Q116,AgeF,7,FALSE),"")))))))</f>
        <v/>
      </c>
      <c r="T116" s="108" t="str">
        <f t="shared" si="4"/>
        <v/>
      </c>
      <c r="U116" s="29"/>
      <c r="V116" s="29"/>
      <c r="W116" s="29"/>
      <c r="X116" s="132"/>
      <c r="Y116" s="132"/>
      <c r="Z116" s="132"/>
    </row>
    <row r="117" spans="1:26">
      <c r="A117" s="36"/>
      <c r="B117" s="133"/>
      <c r="C117" s="133"/>
      <c r="D117" s="106" t="str">
        <f t="shared" si="3"/>
        <v xml:space="preserve"> </v>
      </c>
      <c r="E117" s="29"/>
      <c r="F117" s="29"/>
      <c r="G117" s="29"/>
      <c r="H117" s="193"/>
      <c r="I117" s="131"/>
      <c r="J117" s="100" t="str">
        <f>IF(FacingSheet!$B$11=10,IF(ISERROR(((((H117*1440)-20)*60)-(((H117*1440)-20)^1.6)*2.5)/86400),"",((((H117*1440)-20)*60)-(((H117*1440)-20)^1.6)*2.5)/86400),"")</f>
        <v/>
      </c>
      <c r="K117" s="100" t="str">
        <f>IF(FacingSheet!$B$11=15,IF(ISERROR(((((H117*1440)-33)*60)-(((H117*1440)-33)^1.6)*1.667)/86400),"",((((H117*1440)-33)*60)-(((H117*1440)-33)^1.6)*1.667)/86400),"")</f>
        <v/>
      </c>
      <c r="L117" s="100" t="str">
        <f>IF(FacingSheet!$B$11=25,IF(ISERROR(((((H117*1440)-50)*60)-(((H117*1440)-50)^1.6))/86400),"",((((H117*1440)-50)*60)-(((H117*1440)-50)^1.6))/86400),"")</f>
        <v/>
      </c>
      <c r="M117" s="100" t="str">
        <f>IF(FacingSheet!$B$11=30,IF(ISERROR(((((H117*1440)-60)*60)-((((H117*1440)-60)^1.6))/1.2)/86400),"",((((H117*1440)-60)*60)-((((H117*1440)-60)^1.6))/1.2)/86400),"")</f>
        <v/>
      </c>
      <c r="N117" s="100" t="str">
        <f>IF(FacingSheet!$B$11=50,IF(ISERROR(((((H117*1440)-105)*60)-((((H117*1440)-105)^1.6))/2)/86400),"",((((H117*1440)-105)*60)-((((H117*1440)-105)^1.6))/2)/86400),"")</f>
        <v/>
      </c>
      <c r="O117" s="100" t="str">
        <f>IF(FacingSheet!$B$11=100,IF(ISERROR(((((H117*1440)-230)*60)-((((H117*1440)-230)^1.6))/4)/86400),"",((((H117*1440)-230)*60)-((((H117*1440)-230)^1.6))/4)/86400),"")</f>
        <v/>
      </c>
      <c r="P117" s="108" t="str">
        <f>IF(FacingSheet!$B$11=10,J117,IF(FacingSheet!$B$11=15,K117,IF(FacingSheet!$B$11=25,L117,IF(FacingSheet!$B$11=30,M117,IF(FacingSheet!$B$11=50,N117,IF(FacingSheet!$B$11=100,O117,""))))))</f>
        <v/>
      </c>
      <c r="Q117" s="65" t="str">
        <f>IF(OR(F117="V",F117="FV"),IF(I117="","",IF(MONTH(FacingSheet!$S$9)&gt;MONTH(I117),YEAR(FacingSheet!$S$9)-YEAR(I117),IF(AND(MONTH(FacingSheet!$S$9)=MONTH(I117),DAY(FacingSheet!$S$9)&gt;=DAY(I117)),YEAR(FacingSheet!$S$9)-YEAR(I117),(YEAR(FacingSheet!$S$9)-YEAR(I117))-1))),"")</f>
        <v/>
      </c>
      <c r="R117" s="108" t="str">
        <f>IF(Q117="","",IF(FacingSheet!$B$11=10,VLOOKUP(Q117,Age,2,FALSE),IF(FacingSheet!$B$11=15,VLOOKUP(Q117,Age,3,FALSE),IF(FacingSheet!$B$11=25,VLOOKUP(Q117,Age,4,FALSE),IF(FacingSheet!$B$11=30,VLOOKUP(Q117,Age,5,FALSE),IF(FacingSheet!$B$11=50,VLOOKUP(Q117,Age,6,FALSE),IF(FacingSheet!$B$11=100,VLOOKUP(Q117,Age,7,FALSE),"")))))))</f>
        <v/>
      </c>
      <c r="S117" s="108" t="str">
        <f>IF(Q117="","",IF(FacingSheet!$B$11=10,VLOOKUP(Q117,AgeF,2,FALSE),IF(FacingSheet!$B$11=15,VLOOKUP(Q117,AgeF,3,FALSE),IF(FacingSheet!$B$11=25,VLOOKUP(Q117,AgeF,4,FALSE),IF(FacingSheet!$B$11=30,VLOOKUP(Q117,AgeF,5,FALSE),IF(FacingSheet!$B$11=50,VLOOKUP(Q117,AgeF,6,FALSE),IF(FacingSheet!$B$11=100,VLOOKUP(Q117,AgeF,7,FALSE),"")))))))</f>
        <v/>
      </c>
      <c r="T117" s="108" t="str">
        <f t="shared" si="4"/>
        <v/>
      </c>
      <c r="U117" s="29"/>
      <c r="V117" s="29"/>
      <c r="W117" s="29"/>
      <c r="X117" s="132"/>
      <c r="Y117" s="132"/>
      <c r="Z117" s="132"/>
    </row>
    <row r="118" spans="1:26">
      <c r="A118" s="36"/>
      <c r="B118" s="133"/>
      <c r="C118" s="133"/>
      <c r="D118" s="106" t="str">
        <f t="shared" si="3"/>
        <v xml:space="preserve"> </v>
      </c>
      <c r="E118" s="29"/>
      <c r="F118" s="29"/>
      <c r="G118" s="29"/>
      <c r="H118" s="193"/>
      <c r="I118" s="131"/>
      <c r="J118" s="100" t="str">
        <f>IF(FacingSheet!$B$11=10,IF(ISERROR(((((H118*1440)-20)*60)-(((H118*1440)-20)^1.6)*2.5)/86400),"",((((H118*1440)-20)*60)-(((H118*1440)-20)^1.6)*2.5)/86400),"")</f>
        <v/>
      </c>
      <c r="K118" s="100" t="str">
        <f>IF(FacingSheet!$B$11=15,IF(ISERROR(((((H118*1440)-33)*60)-(((H118*1440)-33)^1.6)*1.667)/86400),"",((((H118*1440)-33)*60)-(((H118*1440)-33)^1.6)*1.667)/86400),"")</f>
        <v/>
      </c>
      <c r="L118" s="100" t="str">
        <f>IF(FacingSheet!$B$11=25,IF(ISERROR(((((H118*1440)-50)*60)-(((H118*1440)-50)^1.6))/86400),"",((((H118*1440)-50)*60)-(((H118*1440)-50)^1.6))/86400),"")</f>
        <v/>
      </c>
      <c r="M118" s="100" t="str">
        <f>IF(FacingSheet!$B$11=30,IF(ISERROR(((((H118*1440)-60)*60)-((((H118*1440)-60)^1.6))/1.2)/86400),"",((((H118*1440)-60)*60)-((((H118*1440)-60)^1.6))/1.2)/86400),"")</f>
        <v/>
      </c>
      <c r="N118" s="100" t="str">
        <f>IF(FacingSheet!$B$11=50,IF(ISERROR(((((H118*1440)-105)*60)-((((H118*1440)-105)^1.6))/2)/86400),"",((((H118*1440)-105)*60)-((((H118*1440)-105)^1.6))/2)/86400),"")</f>
        <v/>
      </c>
      <c r="O118" s="100" t="str">
        <f>IF(FacingSheet!$B$11=100,IF(ISERROR(((((H118*1440)-230)*60)-((((H118*1440)-230)^1.6))/4)/86400),"",((((H118*1440)-230)*60)-((((H118*1440)-230)^1.6))/4)/86400),"")</f>
        <v/>
      </c>
      <c r="P118" s="108" t="str">
        <f>IF(FacingSheet!$B$11=10,J118,IF(FacingSheet!$B$11=15,K118,IF(FacingSheet!$B$11=25,L118,IF(FacingSheet!$B$11=30,M118,IF(FacingSheet!$B$11=50,N118,IF(FacingSheet!$B$11=100,O118,""))))))</f>
        <v/>
      </c>
      <c r="Q118" s="65" t="str">
        <f>IF(OR(F118="V",F118="FV"),IF(I118="","",IF(MONTH(FacingSheet!$S$9)&gt;MONTH(I118),YEAR(FacingSheet!$S$9)-YEAR(I118),IF(AND(MONTH(FacingSheet!$S$9)=MONTH(I118),DAY(FacingSheet!$S$9)&gt;=DAY(I118)),YEAR(FacingSheet!$S$9)-YEAR(I118),(YEAR(FacingSheet!$S$9)-YEAR(I118))-1))),"")</f>
        <v/>
      </c>
      <c r="R118" s="108" t="str">
        <f>IF(Q118="","",IF(FacingSheet!$B$11=10,VLOOKUP(Q118,Age,2,FALSE),IF(FacingSheet!$B$11=15,VLOOKUP(Q118,Age,3,FALSE),IF(FacingSheet!$B$11=25,VLOOKUP(Q118,Age,4,FALSE),IF(FacingSheet!$B$11=30,VLOOKUP(Q118,Age,5,FALSE),IF(FacingSheet!$B$11=50,VLOOKUP(Q118,Age,6,FALSE),IF(FacingSheet!$B$11=100,VLOOKUP(Q118,Age,7,FALSE),"")))))))</f>
        <v/>
      </c>
      <c r="S118" s="108" t="str">
        <f>IF(Q118="","",IF(FacingSheet!$B$11=10,VLOOKUP(Q118,AgeF,2,FALSE),IF(FacingSheet!$B$11=15,VLOOKUP(Q118,AgeF,3,FALSE),IF(FacingSheet!$B$11=25,VLOOKUP(Q118,AgeF,4,FALSE),IF(FacingSheet!$B$11=30,VLOOKUP(Q118,AgeF,5,FALSE),IF(FacingSheet!$B$11=50,VLOOKUP(Q118,AgeF,6,FALSE),IF(FacingSheet!$B$11=100,VLOOKUP(Q118,AgeF,7,FALSE),"")))))))</f>
        <v/>
      </c>
      <c r="T118" s="108" t="str">
        <f t="shared" si="4"/>
        <v/>
      </c>
      <c r="U118" s="29"/>
      <c r="V118" s="29"/>
      <c r="W118" s="29"/>
      <c r="X118" s="132"/>
      <c r="Y118" s="132"/>
      <c r="Z118" s="132"/>
    </row>
    <row r="119" spans="1:26">
      <c r="A119" s="36"/>
      <c r="B119" s="133"/>
      <c r="C119" s="133"/>
      <c r="D119" s="106" t="str">
        <f t="shared" si="3"/>
        <v xml:space="preserve"> </v>
      </c>
      <c r="E119" s="29"/>
      <c r="F119" s="29"/>
      <c r="G119" s="29"/>
      <c r="H119" s="193"/>
      <c r="I119" s="131"/>
      <c r="J119" s="100" t="str">
        <f>IF(FacingSheet!$B$11=10,IF(ISERROR(((((H119*1440)-20)*60)-(((H119*1440)-20)^1.6)*2.5)/86400),"",((((H119*1440)-20)*60)-(((H119*1440)-20)^1.6)*2.5)/86400),"")</f>
        <v/>
      </c>
      <c r="K119" s="100" t="str">
        <f>IF(FacingSheet!$B$11=15,IF(ISERROR(((((H119*1440)-33)*60)-(((H119*1440)-33)^1.6)*1.667)/86400),"",((((H119*1440)-33)*60)-(((H119*1440)-33)^1.6)*1.667)/86400),"")</f>
        <v/>
      </c>
      <c r="L119" s="100" t="str">
        <f>IF(FacingSheet!$B$11=25,IF(ISERROR(((((H119*1440)-50)*60)-(((H119*1440)-50)^1.6))/86400),"",((((H119*1440)-50)*60)-(((H119*1440)-50)^1.6))/86400),"")</f>
        <v/>
      </c>
      <c r="M119" s="100" t="str">
        <f>IF(FacingSheet!$B$11=30,IF(ISERROR(((((H119*1440)-60)*60)-((((H119*1440)-60)^1.6))/1.2)/86400),"",((((H119*1440)-60)*60)-((((H119*1440)-60)^1.6))/1.2)/86400),"")</f>
        <v/>
      </c>
      <c r="N119" s="100" t="str">
        <f>IF(FacingSheet!$B$11=50,IF(ISERROR(((((H119*1440)-105)*60)-((((H119*1440)-105)^1.6))/2)/86400),"",((((H119*1440)-105)*60)-((((H119*1440)-105)^1.6))/2)/86400),"")</f>
        <v/>
      </c>
      <c r="O119" s="100" t="str">
        <f>IF(FacingSheet!$B$11=100,IF(ISERROR(((((H119*1440)-230)*60)-((((H119*1440)-230)^1.6))/4)/86400),"",((((H119*1440)-230)*60)-((((H119*1440)-230)^1.6))/4)/86400),"")</f>
        <v/>
      </c>
      <c r="P119" s="108" t="str">
        <f>IF(FacingSheet!$B$11=10,J119,IF(FacingSheet!$B$11=15,K119,IF(FacingSheet!$B$11=25,L119,IF(FacingSheet!$B$11=30,M119,IF(FacingSheet!$B$11=50,N119,IF(FacingSheet!$B$11=100,O119,""))))))</f>
        <v/>
      </c>
      <c r="Q119" s="65" t="str">
        <f>IF(OR(F119="V",F119="FV"),IF(I119="","",IF(MONTH(FacingSheet!$S$9)&gt;MONTH(I119),YEAR(FacingSheet!$S$9)-YEAR(I119),IF(AND(MONTH(FacingSheet!$S$9)=MONTH(I119),DAY(FacingSheet!$S$9)&gt;=DAY(I119)),YEAR(FacingSheet!$S$9)-YEAR(I119),(YEAR(FacingSheet!$S$9)-YEAR(I119))-1))),"")</f>
        <v/>
      </c>
      <c r="R119" s="108" t="str">
        <f>IF(Q119="","",IF(FacingSheet!$B$11=10,VLOOKUP(Q119,Age,2,FALSE),IF(FacingSheet!$B$11=15,VLOOKUP(Q119,Age,3,FALSE),IF(FacingSheet!$B$11=25,VLOOKUP(Q119,Age,4,FALSE),IF(FacingSheet!$B$11=30,VLOOKUP(Q119,Age,5,FALSE),IF(FacingSheet!$B$11=50,VLOOKUP(Q119,Age,6,FALSE),IF(FacingSheet!$B$11=100,VLOOKUP(Q119,Age,7,FALSE),"")))))))</f>
        <v/>
      </c>
      <c r="S119" s="108" t="str">
        <f>IF(Q119="","",IF(FacingSheet!$B$11=10,VLOOKUP(Q119,AgeF,2,FALSE),IF(FacingSheet!$B$11=15,VLOOKUP(Q119,AgeF,3,FALSE),IF(FacingSheet!$B$11=25,VLOOKUP(Q119,AgeF,4,FALSE),IF(FacingSheet!$B$11=30,VLOOKUP(Q119,AgeF,5,FALSE),IF(FacingSheet!$B$11=50,VLOOKUP(Q119,AgeF,6,FALSE),IF(FacingSheet!$B$11=100,VLOOKUP(Q119,AgeF,7,FALSE),"")))))))</f>
        <v/>
      </c>
      <c r="T119" s="108" t="str">
        <f t="shared" si="4"/>
        <v/>
      </c>
      <c r="U119" s="29"/>
      <c r="V119" s="29"/>
      <c r="W119" s="29"/>
      <c r="X119" s="132"/>
      <c r="Y119" s="132"/>
      <c r="Z119" s="132"/>
    </row>
    <row r="120" spans="1:26">
      <c r="A120" s="36"/>
      <c r="B120" s="133"/>
      <c r="C120" s="133"/>
      <c r="D120" s="106" t="str">
        <f t="shared" si="3"/>
        <v xml:space="preserve"> </v>
      </c>
      <c r="E120" s="29"/>
      <c r="F120" s="29"/>
      <c r="G120" s="29"/>
      <c r="H120" s="193"/>
      <c r="I120" s="131"/>
      <c r="J120" s="100" t="str">
        <f>IF(FacingSheet!$B$11=10,IF(ISERROR(((((H120*1440)-20)*60)-(((H120*1440)-20)^1.6)*2.5)/86400),"",((((H120*1440)-20)*60)-(((H120*1440)-20)^1.6)*2.5)/86400),"")</f>
        <v/>
      </c>
      <c r="K120" s="100" t="str">
        <f>IF(FacingSheet!$B$11=15,IF(ISERROR(((((H120*1440)-33)*60)-(((H120*1440)-33)^1.6)*1.667)/86400),"",((((H120*1440)-33)*60)-(((H120*1440)-33)^1.6)*1.667)/86400),"")</f>
        <v/>
      </c>
      <c r="L120" s="100" t="str">
        <f>IF(FacingSheet!$B$11=25,IF(ISERROR(((((H120*1440)-50)*60)-(((H120*1440)-50)^1.6))/86400),"",((((H120*1440)-50)*60)-(((H120*1440)-50)^1.6))/86400),"")</f>
        <v/>
      </c>
      <c r="M120" s="100" t="str">
        <f>IF(FacingSheet!$B$11=30,IF(ISERROR(((((H120*1440)-60)*60)-((((H120*1440)-60)^1.6))/1.2)/86400),"",((((H120*1440)-60)*60)-((((H120*1440)-60)^1.6))/1.2)/86400),"")</f>
        <v/>
      </c>
      <c r="N120" s="100" t="str">
        <f>IF(FacingSheet!$B$11=50,IF(ISERROR(((((H120*1440)-105)*60)-((((H120*1440)-105)^1.6))/2)/86400),"",((((H120*1440)-105)*60)-((((H120*1440)-105)^1.6))/2)/86400),"")</f>
        <v/>
      </c>
      <c r="O120" s="100" t="str">
        <f>IF(FacingSheet!$B$11=100,IF(ISERROR(((((H120*1440)-230)*60)-((((H120*1440)-230)^1.6))/4)/86400),"",((((H120*1440)-230)*60)-((((H120*1440)-230)^1.6))/4)/86400),"")</f>
        <v/>
      </c>
      <c r="P120" s="108" t="str">
        <f>IF(FacingSheet!$B$11=10,J120,IF(FacingSheet!$B$11=15,K120,IF(FacingSheet!$B$11=25,L120,IF(FacingSheet!$B$11=30,M120,IF(FacingSheet!$B$11=50,N120,IF(FacingSheet!$B$11=100,O120,""))))))</f>
        <v/>
      </c>
      <c r="Q120" s="65" t="str">
        <f>IF(OR(F120="V",F120="FV"),IF(I120="","",IF(MONTH(FacingSheet!$S$9)&gt;MONTH(I120),YEAR(FacingSheet!$S$9)-YEAR(I120),IF(AND(MONTH(FacingSheet!$S$9)=MONTH(I120),DAY(FacingSheet!$S$9)&gt;=DAY(I120)),YEAR(FacingSheet!$S$9)-YEAR(I120),(YEAR(FacingSheet!$S$9)-YEAR(I120))-1))),"")</f>
        <v/>
      </c>
      <c r="R120" s="108" t="str">
        <f>IF(Q120="","",IF(FacingSheet!$B$11=10,VLOOKUP(Q120,Age,2,FALSE),IF(FacingSheet!$B$11=15,VLOOKUP(Q120,Age,3,FALSE),IF(FacingSheet!$B$11=25,VLOOKUP(Q120,Age,4,FALSE),IF(FacingSheet!$B$11=30,VLOOKUP(Q120,Age,5,FALSE),IF(FacingSheet!$B$11=50,VLOOKUP(Q120,Age,6,FALSE),IF(FacingSheet!$B$11=100,VLOOKUP(Q120,Age,7,FALSE),"")))))))</f>
        <v/>
      </c>
      <c r="S120" s="108" t="str">
        <f>IF(Q120="","",IF(FacingSheet!$B$11=10,VLOOKUP(Q120,AgeF,2,FALSE),IF(FacingSheet!$B$11=15,VLOOKUP(Q120,AgeF,3,FALSE),IF(FacingSheet!$B$11=25,VLOOKUP(Q120,AgeF,4,FALSE),IF(FacingSheet!$B$11=30,VLOOKUP(Q120,AgeF,5,FALSE),IF(FacingSheet!$B$11=50,VLOOKUP(Q120,AgeF,6,FALSE),IF(FacingSheet!$B$11=100,VLOOKUP(Q120,AgeF,7,FALSE),"")))))))</f>
        <v/>
      </c>
      <c r="T120" s="108" t="str">
        <f t="shared" si="4"/>
        <v/>
      </c>
      <c r="U120" s="29"/>
      <c r="V120" s="29"/>
      <c r="W120" s="29"/>
      <c r="X120" s="132"/>
      <c r="Y120" s="132"/>
      <c r="Z120" s="132"/>
    </row>
    <row r="121" spans="1:26">
      <c r="A121" s="36"/>
      <c r="B121" s="133"/>
      <c r="C121" s="133"/>
      <c r="D121" s="106" t="str">
        <f t="shared" si="3"/>
        <v xml:space="preserve"> </v>
      </c>
      <c r="E121" s="29"/>
      <c r="F121" s="29"/>
      <c r="G121" s="29"/>
      <c r="H121" s="193"/>
      <c r="I121" s="131"/>
      <c r="J121" s="100" t="str">
        <f>IF(FacingSheet!$B$11=10,IF(ISERROR(((((H121*1440)-20)*60)-(((H121*1440)-20)^1.6)*2.5)/86400),"",((((H121*1440)-20)*60)-(((H121*1440)-20)^1.6)*2.5)/86400),"")</f>
        <v/>
      </c>
      <c r="K121" s="100" t="str">
        <f>IF(FacingSheet!$B$11=15,IF(ISERROR(((((H121*1440)-33)*60)-(((H121*1440)-33)^1.6)*1.667)/86400),"",((((H121*1440)-33)*60)-(((H121*1440)-33)^1.6)*1.667)/86400),"")</f>
        <v/>
      </c>
      <c r="L121" s="100" t="str">
        <f>IF(FacingSheet!$B$11=25,IF(ISERROR(((((H121*1440)-50)*60)-(((H121*1440)-50)^1.6))/86400),"",((((H121*1440)-50)*60)-(((H121*1440)-50)^1.6))/86400),"")</f>
        <v/>
      </c>
      <c r="M121" s="100" t="str">
        <f>IF(FacingSheet!$B$11=30,IF(ISERROR(((((H121*1440)-60)*60)-((((H121*1440)-60)^1.6))/1.2)/86400),"",((((H121*1440)-60)*60)-((((H121*1440)-60)^1.6))/1.2)/86400),"")</f>
        <v/>
      </c>
      <c r="N121" s="100" t="str">
        <f>IF(FacingSheet!$B$11=50,IF(ISERROR(((((H121*1440)-105)*60)-((((H121*1440)-105)^1.6))/2)/86400),"",((((H121*1440)-105)*60)-((((H121*1440)-105)^1.6))/2)/86400),"")</f>
        <v/>
      </c>
      <c r="O121" s="100" t="str">
        <f>IF(FacingSheet!$B$11=100,IF(ISERROR(((((H121*1440)-230)*60)-((((H121*1440)-230)^1.6))/4)/86400),"",((((H121*1440)-230)*60)-((((H121*1440)-230)^1.6))/4)/86400),"")</f>
        <v/>
      </c>
      <c r="P121" s="108" t="str">
        <f>IF(FacingSheet!$B$11=10,J121,IF(FacingSheet!$B$11=15,K121,IF(FacingSheet!$B$11=25,L121,IF(FacingSheet!$B$11=30,M121,IF(FacingSheet!$B$11=50,N121,IF(FacingSheet!$B$11=100,O121,""))))))</f>
        <v/>
      </c>
      <c r="Q121" s="65" t="str">
        <f>IF(OR(F121="V",F121="FV"),IF(I121="","",IF(MONTH(FacingSheet!$S$9)&gt;MONTH(I121),YEAR(FacingSheet!$S$9)-YEAR(I121),IF(AND(MONTH(FacingSheet!$S$9)=MONTH(I121),DAY(FacingSheet!$S$9)&gt;=DAY(I121)),YEAR(FacingSheet!$S$9)-YEAR(I121),(YEAR(FacingSheet!$S$9)-YEAR(I121))-1))),"")</f>
        <v/>
      </c>
      <c r="R121" s="108" t="str">
        <f>IF(Q121="","",IF(FacingSheet!$B$11=10,VLOOKUP(Q121,Age,2,FALSE),IF(FacingSheet!$B$11=15,VLOOKUP(Q121,Age,3,FALSE),IF(FacingSheet!$B$11=25,VLOOKUP(Q121,Age,4,FALSE),IF(FacingSheet!$B$11=30,VLOOKUP(Q121,Age,5,FALSE),IF(FacingSheet!$B$11=50,VLOOKUP(Q121,Age,6,FALSE),IF(FacingSheet!$B$11=100,VLOOKUP(Q121,Age,7,FALSE),"")))))))</f>
        <v/>
      </c>
      <c r="S121" s="108" t="str">
        <f>IF(Q121="","",IF(FacingSheet!$B$11=10,VLOOKUP(Q121,AgeF,2,FALSE),IF(FacingSheet!$B$11=15,VLOOKUP(Q121,AgeF,3,FALSE),IF(FacingSheet!$B$11=25,VLOOKUP(Q121,AgeF,4,FALSE),IF(FacingSheet!$B$11=30,VLOOKUP(Q121,AgeF,5,FALSE),IF(FacingSheet!$B$11=50,VLOOKUP(Q121,AgeF,6,FALSE),IF(FacingSheet!$B$11=100,VLOOKUP(Q121,AgeF,7,FALSE),"")))))))</f>
        <v/>
      </c>
      <c r="T121" s="108" t="str">
        <f t="shared" si="4"/>
        <v/>
      </c>
      <c r="U121" s="29"/>
      <c r="V121" s="29"/>
      <c r="W121" s="29"/>
      <c r="X121" s="132"/>
      <c r="Y121" s="132"/>
      <c r="Z121" s="132"/>
    </row>
    <row r="122" spans="1:26">
      <c r="A122" s="36"/>
      <c r="B122" s="133"/>
      <c r="C122" s="133"/>
      <c r="D122" s="106" t="str">
        <f t="shared" si="3"/>
        <v xml:space="preserve"> </v>
      </c>
      <c r="E122" s="29"/>
      <c r="F122" s="29"/>
      <c r="G122" s="29"/>
      <c r="H122" s="193"/>
      <c r="I122" s="131"/>
      <c r="J122" s="100" t="str">
        <f>IF(FacingSheet!$B$11=10,IF(ISERROR(((((H122*1440)-20)*60)-(((H122*1440)-20)^1.6)*2.5)/86400),"",((((H122*1440)-20)*60)-(((H122*1440)-20)^1.6)*2.5)/86400),"")</f>
        <v/>
      </c>
      <c r="K122" s="100" t="str">
        <f>IF(FacingSheet!$B$11=15,IF(ISERROR(((((H122*1440)-33)*60)-(((H122*1440)-33)^1.6)*1.667)/86400),"",((((H122*1440)-33)*60)-(((H122*1440)-33)^1.6)*1.667)/86400),"")</f>
        <v/>
      </c>
      <c r="L122" s="100" t="str">
        <f>IF(FacingSheet!$B$11=25,IF(ISERROR(((((H122*1440)-50)*60)-(((H122*1440)-50)^1.6))/86400),"",((((H122*1440)-50)*60)-(((H122*1440)-50)^1.6))/86400),"")</f>
        <v/>
      </c>
      <c r="M122" s="100" t="str">
        <f>IF(FacingSheet!$B$11=30,IF(ISERROR(((((H122*1440)-60)*60)-((((H122*1440)-60)^1.6))/1.2)/86400),"",((((H122*1440)-60)*60)-((((H122*1440)-60)^1.6))/1.2)/86400),"")</f>
        <v/>
      </c>
      <c r="N122" s="100" t="str">
        <f>IF(FacingSheet!$B$11=50,IF(ISERROR(((((H122*1440)-105)*60)-((((H122*1440)-105)^1.6))/2)/86400),"",((((H122*1440)-105)*60)-((((H122*1440)-105)^1.6))/2)/86400),"")</f>
        <v/>
      </c>
      <c r="O122" s="100" t="str">
        <f>IF(FacingSheet!$B$11=100,IF(ISERROR(((((H122*1440)-230)*60)-((((H122*1440)-230)^1.6))/4)/86400),"",((((H122*1440)-230)*60)-((((H122*1440)-230)^1.6))/4)/86400),"")</f>
        <v/>
      </c>
      <c r="P122" s="108" t="str">
        <f>IF(FacingSheet!$B$11=10,J122,IF(FacingSheet!$B$11=15,K122,IF(FacingSheet!$B$11=25,L122,IF(FacingSheet!$B$11=30,M122,IF(FacingSheet!$B$11=50,N122,IF(FacingSheet!$B$11=100,O122,""))))))</f>
        <v/>
      </c>
      <c r="Q122" s="65" t="str">
        <f>IF(OR(F122="V",F122="FV"),IF(I122="","",IF(MONTH(FacingSheet!$S$9)&gt;MONTH(I122),YEAR(FacingSheet!$S$9)-YEAR(I122),IF(AND(MONTH(FacingSheet!$S$9)=MONTH(I122),DAY(FacingSheet!$S$9)&gt;=DAY(I122)),YEAR(FacingSheet!$S$9)-YEAR(I122),(YEAR(FacingSheet!$S$9)-YEAR(I122))-1))),"")</f>
        <v/>
      </c>
      <c r="R122" s="108" t="str">
        <f>IF(Q122="","",IF(FacingSheet!$B$11=10,VLOOKUP(Q122,Age,2,FALSE),IF(FacingSheet!$B$11=15,VLOOKUP(Q122,Age,3,FALSE),IF(FacingSheet!$B$11=25,VLOOKUP(Q122,Age,4,FALSE),IF(FacingSheet!$B$11=30,VLOOKUP(Q122,Age,5,FALSE),IF(FacingSheet!$B$11=50,VLOOKUP(Q122,Age,6,FALSE),IF(FacingSheet!$B$11=100,VLOOKUP(Q122,Age,7,FALSE),"")))))))</f>
        <v/>
      </c>
      <c r="S122" s="108" t="str">
        <f>IF(Q122="","",IF(FacingSheet!$B$11=10,VLOOKUP(Q122,AgeF,2,FALSE),IF(FacingSheet!$B$11=15,VLOOKUP(Q122,AgeF,3,FALSE),IF(FacingSheet!$B$11=25,VLOOKUP(Q122,AgeF,4,FALSE),IF(FacingSheet!$B$11=30,VLOOKUP(Q122,AgeF,5,FALSE),IF(FacingSheet!$B$11=50,VLOOKUP(Q122,AgeF,6,FALSE),IF(FacingSheet!$B$11=100,VLOOKUP(Q122,AgeF,7,FALSE),"")))))))</f>
        <v/>
      </c>
      <c r="T122" s="108" t="str">
        <f t="shared" si="4"/>
        <v/>
      </c>
      <c r="U122" s="29"/>
      <c r="V122" s="29"/>
      <c r="W122" s="29"/>
      <c r="X122" s="132"/>
      <c r="Y122" s="132"/>
      <c r="Z122" s="132"/>
    </row>
    <row r="123" spans="1:26">
      <c r="A123" s="36"/>
      <c r="B123" s="133"/>
      <c r="C123" s="133"/>
      <c r="D123" s="106" t="str">
        <f t="shared" si="3"/>
        <v xml:space="preserve"> </v>
      </c>
      <c r="E123" s="29"/>
      <c r="F123" s="29"/>
      <c r="G123" s="29"/>
      <c r="H123" s="193"/>
      <c r="I123" s="131"/>
      <c r="J123" s="100" t="str">
        <f>IF(FacingSheet!$B$11=10,IF(ISERROR(((((H123*1440)-20)*60)-(((H123*1440)-20)^1.6)*2.5)/86400),"",((((H123*1440)-20)*60)-(((H123*1440)-20)^1.6)*2.5)/86400),"")</f>
        <v/>
      </c>
      <c r="K123" s="100" t="str">
        <f>IF(FacingSheet!$B$11=15,IF(ISERROR(((((H123*1440)-33)*60)-(((H123*1440)-33)^1.6)*1.667)/86400),"",((((H123*1440)-33)*60)-(((H123*1440)-33)^1.6)*1.667)/86400),"")</f>
        <v/>
      </c>
      <c r="L123" s="100" t="str">
        <f>IF(FacingSheet!$B$11=25,IF(ISERROR(((((H123*1440)-50)*60)-(((H123*1440)-50)^1.6))/86400),"",((((H123*1440)-50)*60)-(((H123*1440)-50)^1.6))/86400),"")</f>
        <v/>
      </c>
      <c r="M123" s="100" t="str">
        <f>IF(FacingSheet!$B$11=30,IF(ISERROR(((((H123*1440)-60)*60)-((((H123*1440)-60)^1.6))/1.2)/86400),"",((((H123*1440)-60)*60)-((((H123*1440)-60)^1.6))/1.2)/86400),"")</f>
        <v/>
      </c>
      <c r="N123" s="100" t="str">
        <f>IF(FacingSheet!$B$11=50,IF(ISERROR(((((H123*1440)-105)*60)-((((H123*1440)-105)^1.6))/2)/86400),"",((((H123*1440)-105)*60)-((((H123*1440)-105)^1.6))/2)/86400),"")</f>
        <v/>
      </c>
      <c r="O123" s="100" t="str">
        <f>IF(FacingSheet!$B$11=100,IF(ISERROR(((((H123*1440)-230)*60)-((((H123*1440)-230)^1.6))/4)/86400),"",((((H123*1440)-230)*60)-((((H123*1440)-230)^1.6))/4)/86400),"")</f>
        <v/>
      </c>
      <c r="P123" s="108" t="str">
        <f>IF(FacingSheet!$B$11=10,J123,IF(FacingSheet!$B$11=15,K123,IF(FacingSheet!$B$11=25,L123,IF(FacingSheet!$B$11=30,M123,IF(FacingSheet!$B$11=50,N123,IF(FacingSheet!$B$11=100,O123,""))))))</f>
        <v/>
      </c>
      <c r="Q123" s="65" t="str">
        <f>IF(OR(F123="V",F123="FV"),IF(I123="","",IF(MONTH(FacingSheet!$S$9)&gt;MONTH(I123),YEAR(FacingSheet!$S$9)-YEAR(I123),IF(AND(MONTH(FacingSheet!$S$9)=MONTH(I123),DAY(FacingSheet!$S$9)&gt;=DAY(I123)),YEAR(FacingSheet!$S$9)-YEAR(I123),(YEAR(FacingSheet!$S$9)-YEAR(I123))-1))),"")</f>
        <v/>
      </c>
      <c r="R123" s="108" t="str">
        <f>IF(Q123="","",IF(FacingSheet!$B$11=10,VLOOKUP(Q123,Age,2,FALSE),IF(FacingSheet!$B$11=15,VLOOKUP(Q123,Age,3,FALSE),IF(FacingSheet!$B$11=25,VLOOKUP(Q123,Age,4,FALSE),IF(FacingSheet!$B$11=30,VLOOKUP(Q123,Age,5,FALSE),IF(FacingSheet!$B$11=50,VLOOKUP(Q123,Age,6,FALSE),IF(FacingSheet!$B$11=100,VLOOKUP(Q123,Age,7,FALSE),"")))))))</f>
        <v/>
      </c>
      <c r="S123" s="108" t="str">
        <f>IF(Q123="","",IF(FacingSheet!$B$11=10,VLOOKUP(Q123,AgeF,2,FALSE),IF(FacingSheet!$B$11=15,VLOOKUP(Q123,AgeF,3,FALSE),IF(FacingSheet!$B$11=25,VLOOKUP(Q123,AgeF,4,FALSE),IF(FacingSheet!$B$11=30,VLOOKUP(Q123,AgeF,5,FALSE),IF(FacingSheet!$B$11=50,VLOOKUP(Q123,AgeF,6,FALSE),IF(FacingSheet!$B$11=100,VLOOKUP(Q123,AgeF,7,FALSE),"")))))))</f>
        <v/>
      </c>
      <c r="T123" s="108" t="str">
        <f t="shared" si="4"/>
        <v/>
      </c>
      <c r="U123" s="29"/>
      <c r="V123" s="29"/>
      <c r="W123" s="29"/>
      <c r="X123" s="132"/>
      <c r="Y123" s="132"/>
      <c r="Z123" s="132"/>
    </row>
    <row r="124" spans="1:26">
      <c r="A124" s="36"/>
      <c r="B124" s="133"/>
      <c r="C124" s="133"/>
      <c r="D124" s="106" t="str">
        <f t="shared" si="3"/>
        <v xml:space="preserve"> </v>
      </c>
      <c r="E124" s="29"/>
      <c r="F124" s="29"/>
      <c r="G124" s="29"/>
      <c r="H124" s="193"/>
      <c r="I124" s="131"/>
      <c r="J124" s="100" t="str">
        <f>IF(FacingSheet!$B$11=10,IF(ISERROR(((((H124*1440)-20)*60)-(((H124*1440)-20)^1.6)*2.5)/86400),"",((((H124*1440)-20)*60)-(((H124*1440)-20)^1.6)*2.5)/86400),"")</f>
        <v/>
      </c>
      <c r="K124" s="100" t="str">
        <f>IF(FacingSheet!$B$11=15,IF(ISERROR(((((H124*1440)-33)*60)-(((H124*1440)-33)^1.6)*1.667)/86400),"",((((H124*1440)-33)*60)-(((H124*1440)-33)^1.6)*1.667)/86400),"")</f>
        <v/>
      </c>
      <c r="L124" s="100" t="str">
        <f>IF(FacingSheet!$B$11=25,IF(ISERROR(((((H124*1440)-50)*60)-(((H124*1440)-50)^1.6))/86400),"",((((H124*1440)-50)*60)-(((H124*1440)-50)^1.6))/86400),"")</f>
        <v/>
      </c>
      <c r="M124" s="100" t="str">
        <f>IF(FacingSheet!$B$11=30,IF(ISERROR(((((H124*1440)-60)*60)-((((H124*1440)-60)^1.6))/1.2)/86400),"",((((H124*1440)-60)*60)-((((H124*1440)-60)^1.6))/1.2)/86400),"")</f>
        <v/>
      </c>
      <c r="N124" s="100" t="str">
        <f>IF(FacingSheet!$B$11=50,IF(ISERROR(((((H124*1440)-105)*60)-((((H124*1440)-105)^1.6))/2)/86400),"",((((H124*1440)-105)*60)-((((H124*1440)-105)^1.6))/2)/86400),"")</f>
        <v/>
      </c>
      <c r="O124" s="100" t="str">
        <f>IF(FacingSheet!$B$11=100,IF(ISERROR(((((H124*1440)-230)*60)-((((H124*1440)-230)^1.6))/4)/86400),"",((((H124*1440)-230)*60)-((((H124*1440)-230)^1.6))/4)/86400),"")</f>
        <v/>
      </c>
      <c r="P124" s="108" t="str">
        <f>IF(FacingSheet!$B$11=10,J124,IF(FacingSheet!$B$11=15,K124,IF(FacingSheet!$B$11=25,L124,IF(FacingSheet!$B$11=30,M124,IF(FacingSheet!$B$11=50,N124,IF(FacingSheet!$B$11=100,O124,""))))))</f>
        <v/>
      </c>
      <c r="Q124" s="65" t="str">
        <f>IF(OR(F124="V",F124="FV"),IF(I124="","",IF(MONTH(FacingSheet!$S$9)&gt;MONTH(I124),YEAR(FacingSheet!$S$9)-YEAR(I124),IF(AND(MONTH(FacingSheet!$S$9)=MONTH(I124),DAY(FacingSheet!$S$9)&gt;=DAY(I124)),YEAR(FacingSheet!$S$9)-YEAR(I124),(YEAR(FacingSheet!$S$9)-YEAR(I124))-1))),"")</f>
        <v/>
      </c>
      <c r="R124" s="108" t="str">
        <f>IF(Q124="","",IF(FacingSheet!$B$11=10,VLOOKUP(Q124,Age,2,FALSE),IF(FacingSheet!$B$11=15,VLOOKUP(Q124,Age,3,FALSE),IF(FacingSheet!$B$11=25,VLOOKUP(Q124,Age,4,FALSE),IF(FacingSheet!$B$11=30,VLOOKUP(Q124,Age,5,FALSE),IF(FacingSheet!$B$11=50,VLOOKUP(Q124,Age,6,FALSE),IF(FacingSheet!$B$11=100,VLOOKUP(Q124,Age,7,FALSE),"")))))))</f>
        <v/>
      </c>
      <c r="S124" s="108" t="str">
        <f>IF(Q124="","",IF(FacingSheet!$B$11=10,VLOOKUP(Q124,AgeF,2,FALSE),IF(FacingSheet!$B$11=15,VLOOKUP(Q124,AgeF,3,FALSE),IF(FacingSheet!$B$11=25,VLOOKUP(Q124,AgeF,4,FALSE),IF(FacingSheet!$B$11=30,VLOOKUP(Q124,AgeF,5,FALSE),IF(FacingSheet!$B$11=50,VLOOKUP(Q124,AgeF,6,FALSE),IF(FacingSheet!$B$11=100,VLOOKUP(Q124,AgeF,7,FALSE),"")))))))</f>
        <v/>
      </c>
      <c r="T124" s="108" t="str">
        <f t="shared" si="4"/>
        <v/>
      </c>
      <c r="U124" s="29"/>
      <c r="V124" s="29"/>
      <c r="W124" s="29"/>
      <c r="X124" s="132"/>
      <c r="Y124" s="132"/>
      <c r="Z124" s="132"/>
    </row>
    <row r="125" spans="1:26">
      <c r="A125" s="36"/>
      <c r="B125" s="133"/>
      <c r="C125" s="133"/>
      <c r="D125" s="106" t="str">
        <f t="shared" si="3"/>
        <v xml:space="preserve"> </v>
      </c>
      <c r="E125" s="29"/>
      <c r="F125" s="29"/>
      <c r="G125" s="29"/>
      <c r="H125" s="193"/>
      <c r="I125" s="131"/>
      <c r="J125" s="100" t="str">
        <f>IF(FacingSheet!$B$11=10,IF(ISERROR(((((H125*1440)-20)*60)-(((H125*1440)-20)^1.6)*2.5)/86400),"",((((H125*1440)-20)*60)-(((H125*1440)-20)^1.6)*2.5)/86400),"")</f>
        <v/>
      </c>
      <c r="K125" s="100" t="str">
        <f>IF(FacingSheet!$B$11=15,IF(ISERROR(((((H125*1440)-33)*60)-(((H125*1440)-33)^1.6)*1.667)/86400),"",((((H125*1440)-33)*60)-(((H125*1440)-33)^1.6)*1.667)/86400),"")</f>
        <v/>
      </c>
      <c r="L125" s="100" t="str">
        <f>IF(FacingSheet!$B$11=25,IF(ISERROR(((((H125*1440)-50)*60)-(((H125*1440)-50)^1.6))/86400),"",((((H125*1440)-50)*60)-(((H125*1440)-50)^1.6))/86400),"")</f>
        <v/>
      </c>
      <c r="M125" s="100" t="str">
        <f>IF(FacingSheet!$B$11=30,IF(ISERROR(((((H125*1440)-60)*60)-((((H125*1440)-60)^1.6))/1.2)/86400),"",((((H125*1440)-60)*60)-((((H125*1440)-60)^1.6))/1.2)/86400),"")</f>
        <v/>
      </c>
      <c r="N125" s="100" t="str">
        <f>IF(FacingSheet!$B$11=50,IF(ISERROR(((((H125*1440)-105)*60)-((((H125*1440)-105)^1.6))/2)/86400),"",((((H125*1440)-105)*60)-((((H125*1440)-105)^1.6))/2)/86400),"")</f>
        <v/>
      </c>
      <c r="O125" s="100" t="str">
        <f>IF(FacingSheet!$B$11=100,IF(ISERROR(((((H125*1440)-230)*60)-((((H125*1440)-230)^1.6))/4)/86400),"",((((H125*1440)-230)*60)-((((H125*1440)-230)^1.6))/4)/86400),"")</f>
        <v/>
      </c>
      <c r="P125" s="108" t="str">
        <f>IF(FacingSheet!$B$11=10,J125,IF(FacingSheet!$B$11=15,K125,IF(FacingSheet!$B$11=25,L125,IF(FacingSheet!$B$11=30,M125,IF(FacingSheet!$B$11=50,N125,IF(FacingSheet!$B$11=100,O125,""))))))</f>
        <v/>
      </c>
      <c r="Q125" s="65" t="str">
        <f>IF(OR(F125="V",F125="FV"),IF(I125="","",IF(MONTH(FacingSheet!$S$9)&gt;MONTH(I125),YEAR(FacingSheet!$S$9)-YEAR(I125),IF(AND(MONTH(FacingSheet!$S$9)=MONTH(I125),DAY(FacingSheet!$S$9)&gt;=DAY(I125)),YEAR(FacingSheet!$S$9)-YEAR(I125),(YEAR(FacingSheet!$S$9)-YEAR(I125))-1))),"")</f>
        <v/>
      </c>
      <c r="R125" s="108" t="str">
        <f>IF(Q125="","",IF(FacingSheet!$B$11=10,VLOOKUP(Q125,Age,2,FALSE),IF(FacingSheet!$B$11=15,VLOOKUP(Q125,Age,3,FALSE),IF(FacingSheet!$B$11=25,VLOOKUP(Q125,Age,4,FALSE),IF(FacingSheet!$B$11=30,VLOOKUP(Q125,Age,5,FALSE),IF(FacingSheet!$B$11=50,VLOOKUP(Q125,Age,6,FALSE),IF(FacingSheet!$B$11=100,VLOOKUP(Q125,Age,7,FALSE),"")))))))</f>
        <v/>
      </c>
      <c r="S125" s="108" t="str">
        <f>IF(Q125="","",IF(FacingSheet!$B$11=10,VLOOKUP(Q125,AgeF,2,FALSE),IF(FacingSheet!$B$11=15,VLOOKUP(Q125,AgeF,3,FALSE),IF(FacingSheet!$B$11=25,VLOOKUP(Q125,AgeF,4,FALSE),IF(FacingSheet!$B$11=30,VLOOKUP(Q125,AgeF,5,FALSE),IF(FacingSheet!$B$11=50,VLOOKUP(Q125,AgeF,6,FALSE),IF(FacingSheet!$B$11=100,VLOOKUP(Q125,AgeF,7,FALSE),"")))))))</f>
        <v/>
      </c>
      <c r="T125" s="108" t="str">
        <f t="shared" si="4"/>
        <v/>
      </c>
      <c r="U125" s="29"/>
      <c r="V125" s="29"/>
      <c r="W125" s="29"/>
      <c r="X125" s="132"/>
      <c r="Y125" s="132"/>
      <c r="Z125" s="132"/>
    </row>
    <row r="126" spans="1:26">
      <c r="A126" s="36"/>
      <c r="B126" s="133"/>
      <c r="C126" s="133"/>
      <c r="D126" s="106" t="str">
        <f t="shared" si="3"/>
        <v xml:space="preserve"> </v>
      </c>
      <c r="E126" s="29"/>
      <c r="F126" s="29"/>
      <c r="G126" s="29"/>
      <c r="H126" s="193"/>
      <c r="I126" s="131"/>
      <c r="J126" s="100" t="str">
        <f>IF(FacingSheet!$B$11=10,IF(ISERROR(((((H126*1440)-20)*60)-(((H126*1440)-20)^1.6)*2.5)/86400),"",((((H126*1440)-20)*60)-(((H126*1440)-20)^1.6)*2.5)/86400),"")</f>
        <v/>
      </c>
      <c r="K126" s="100" t="str">
        <f>IF(FacingSheet!$B$11=15,IF(ISERROR(((((H126*1440)-33)*60)-(((H126*1440)-33)^1.6)*1.667)/86400),"",((((H126*1440)-33)*60)-(((H126*1440)-33)^1.6)*1.667)/86400),"")</f>
        <v/>
      </c>
      <c r="L126" s="100" t="str">
        <f>IF(FacingSheet!$B$11=25,IF(ISERROR(((((H126*1440)-50)*60)-(((H126*1440)-50)^1.6))/86400),"",((((H126*1440)-50)*60)-(((H126*1440)-50)^1.6))/86400),"")</f>
        <v/>
      </c>
      <c r="M126" s="100" t="str">
        <f>IF(FacingSheet!$B$11=30,IF(ISERROR(((((H126*1440)-60)*60)-((((H126*1440)-60)^1.6))/1.2)/86400),"",((((H126*1440)-60)*60)-((((H126*1440)-60)^1.6))/1.2)/86400),"")</f>
        <v/>
      </c>
      <c r="N126" s="100" t="str">
        <f>IF(FacingSheet!$B$11=50,IF(ISERROR(((((H126*1440)-105)*60)-((((H126*1440)-105)^1.6))/2)/86400),"",((((H126*1440)-105)*60)-((((H126*1440)-105)^1.6))/2)/86400),"")</f>
        <v/>
      </c>
      <c r="O126" s="100" t="str">
        <f>IF(FacingSheet!$B$11=100,IF(ISERROR(((((H126*1440)-230)*60)-((((H126*1440)-230)^1.6))/4)/86400),"",((((H126*1440)-230)*60)-((((H126*1440)-230)^1.6))/4)/86400),"")</f>
        <v/>
      </c>
      <c r="P126" s="108" t="str">
        <f>IF(FacingSheet!$B$11=10,J126,IF(FacingSheet!$B$11=15,K126,IF(FacingSheet!$B$11=25,L126,IF(FacingSheet!$B$11=30,M126,IF(FacingSheet!$B$11=50,N126,IF(FacingSheet!$B$11=100,O126,""))))))</f>
        <v/>
      </c>
      <c r="Q126" s="65" t="str">
        <f>IF(OR(F126="V",F126="FV"),IF(I126="","",IF(MONTH(FacingSheet!$S$9)&gt;MONTH(I126),YEAR(FacingSheet!$S$9)-YEAR(I126),IF(AND(MONTH(FacingSheet!$S$9)=MONTH(I126),DAY(FacingSheet!$S$9)&gt;=DAY(I126)),YEAR(FacingSheet!$S$9)-YEAR(I126),(YEAR(FacingSheet!$S$9)-YEAR(I126))-1))),"")</f>
        <v/>
      </c>
      <c r="R126" s="108" t="str">
        <f>IF(Q126="","",IF(FacingSheet!$B$11=10,VLOOKUP(Q126,Age,2,FALSE),IF(FacingSheet!$B$11=15,VLOOKUP(Q126,Age,3,FALSE),IF(FacingSheet!$B$11=25,VLOOKUP(Q126,Age,4,FALSE),IF(FacingSheet!$B$11=30,VLOOKUP(Q126,Age,5,FALSE),IF(FacingSheet!$B$11=50,VLOOKUP(Q126,Age,6,FALSE),IF(FacingSheet!$B$11=100,VLOOKUP(Q126,Age,7,FALSE),"")))))))</f>
        <v/>
      </c>
      <c r="S126" s="108" t="str">
        <f>IF(Q126="","",IF(FacingSheet!$B$11=10,VLOOKUP(Q126,AgeF,2,FALSE),IF(FacingSheet!$B$11=15,VLOOKUP(Q126,AgeF,3,FALSE),IF(FacingSheet!$B$11=25,VLOOKUP(Q126,AgeF,4,FALSE),IF(FacingSheet!$B$11=30,VLOOKUP(Q126,AgeF,5,FALSE),IF(FacingSheet!$B$11=50,VLOOKUP(Q126,AgeF,6,FALSE),IF(FacingSheet!$B$11=100,VLOOKUP(Q126,AgeF,7,FALSE),"")))))))</f>
        <v/>
      </c>
      <c r="T126" s="108" t="str">
        <f t="shared" si="4"/>
        <v/>
      </c>
      <c r="U126" s="29"/>
      <c r="V126" s="29"/>
      <c r="W126" s="29"/>
      <c r="X126" s="132"/>
      <c r="Y126" s="132"/>
      <c r="Z126" s="132"/>
    </row>
    <row r="127" spans="1:26">
      <c r="A127" s="36"/>
      <c r="B127" s="133"/>
      <c r="C127" s="133"/>
      <c r="D127" s="106" t="str">
        <f t="shared" si="3"/>
        <v xml:space="preserve"> </v>
      </c>
      <c r="E127" s="29"/>
      <c r="F127" s="29"/>
      <c r="G127" s="29"/>
      <c r="H127" s="193"/>
      <c r="I127" s="131"/>
      <c r="J127" s="100" t="str">
        <f>IF(FacingSheet!$B$11=10,IF(ISERROR(((((H127*1440)-20)*60)-(((H127*1440)-20)^1.6)*2.5)/86400),"",((((H127*1440)-20)*60)-(((H127*1440)-20)^1.6)*2.5)/86400),"")</f>
        <v/>
      </c>
      <c r="K127" s="100" t="str">
        <f>IF(FacingSheet!$B$11=15,IF(ISERROR(((((H127*1440)-33)*60)-(((H127*1440)-33)^1.6)*1.667)/86400),"",((((H127*1440)-33)*60)-(((H127*1440)-33)^1.6)*1.667)/86400),"")</f>
        <v/>
      </c>
      <c r="L127" s="100" t="str">
        <f>IF(FacingSheet!$B$11=25,IF(ISERROR(((((H127*1440)-50)*60)-(((H127*1440)-50)^1.6))/86400),"",((((H127*1440)-50)*60)-(((H127*1440)-50)^1.6))/86400),"")</f>
        <v/>
      </c>
      <c r="M127" s="100" t="str">
        <f>IF(FacingSheet!$B$11=30,IF(ISERROR(((((H127*1440)-60)*60)-((((H127*1440)-60)^1.6))/1.2)/86400),"",((((H127*1440)-60)*60)-((((H127*1440)-60)^1.6))/1.2)/86400),"")</f>
        <v/>
      </c>
      <c r="N127" s="100" t="str">
        <f>IF(FacingSheet!$B$11=50,IF(ISERROR(((((H127*1440)-105)*60)-((((H127*1440)-105)^1.6))/2)/86400),"",((((H127*1440)-105)*60)-((((H127*1440)-105)^1.6))/2)/86400),"")</f>
        <v/>
      </c>
      <c r="O127" s="100" t="str">
        <f>IF(FacingSheet!$B$11=100,IF(ISERROR(((((H127*1440)-230)*60)-((((H127*1440)-230)^1.6))/4)/86400),"",((((H127*1440)-230)*60)-((((H127*1440)-230)^1.6))/4)/86400),"")</f>
        <v/>
      </c>
      <c r="P127" s="108" t="str">
        <f>IF(FacingSheet!$B$11=10,J127,IF(FacingSheet!$B$11=15,K127,IF(FacingSheet!$B$11=25,L127,IF(FacingSheet!$B$11=30,M127,IF(FacingSheet!$B$11=50,N127,IF(FacingSheet!$B$11=100,O127,""))))))</f>
        <v/>
      </c>
      <c r="Q127" s="65" t="str">
        <f>IF(OR(F127="V",F127="FV"),IF(I127="","",IF(MONTH(FacingSheet!$S$9)&gt;MONTH(I127),YEAR(FacingSheet!$S$9)-YEAR(I127),IF(AND(MONTH(FacingSheet!$S$9)=MONTH(I127),DAY(FacingSheet!$S$9)&gt;=DAY(I127)),YEAR(FacingSheet!$S$9)-YEAR(I127),(YEAR(FacingSheet!$S$9)-YEAR(I127))-1))),"")</f>
        <v/>
      </c>
      <c r="R127" s="108" t="str">
        <f>IF(Q127="","",IF(FacingSheet!$B$11=10,VLOOKUP(Q127,Age,2,FALSE),IF(FacingSheet!$B$11=15,VLOOKUP(Q127,Age,3,FALSE),IF(FacingSheet!$B$11=25,VLOOKUP(Q127,Age,4,FALSE),IF(FacingSheet!$B$11=30,VLOOKUP(Q127,Age,5,FALSE),IF(FacingSheet!$B$11=50,VLOOKUP(Q127,Age,6,FALSE),IF(FacingSheet!$B$11=100,VLOOKUP(Q127,Age,7,FALSE),"")))))))</f>
        <v/>
      </c>
      <c r="S127" s="108" t="str">
        <f>IF(Q127="","",IF(FacingSheet!$B$11=10,VLOOKUP(Q127,AgeF,2,FALSE),IF(FacingSheet!$B$11=15,VLOOKUP(Q127,AgeF,3,FALSE),IF(FacingSheet!$B$11=25,VLOOKUP(Q127,AgeF,4,FALSE),IF(FacingSheet!$B$11=30,VLOOKUP(Q127,AgeF,5,FALSE),IF(FacingSheet!$B$11=50,VLOOKUP(Q127,AgeF,6,FALSE),IF(FacingSheet!$B$11=100,VLOOKUP(Q127,AgeF,7,FALSE),"")))))))</f>
        <v/>
      </c>
      <c r="T127" s="108" t="str">
        <f t="shared" si="4"/>
        <v/>
      </c>
      <c r="U127" s="29"/>
      <c r="V127" s="29"/>
      <c r="W127" s="29"/>
      <c r="X127" s="132"/>
      <c r="Y127" s="132"/>
      <c r="Z127" s="132"/>
    </row>
    <row r="128" spans="1:26">
      <c r="A128" s="36"/>
      <c r="B128" s="133"/>
      <c r="C128" s="133"/>
      <c r="D128" s="106" t="str">
        <f t="shared" si="3"/>
        <v xml:space="preserve"> </v>
      </c>
      <c r="E128" s="29"/>
      <c r="F128" s="29"/>
      <c r="G128" s="29"/>
      <c r="H128" s="193"/>
      <c r="I128" s="131"/>
      <c r="J128" s="100" t="str">
        <f>IF(FacingSheet!$B$11=10,IF(ISERROR(((((H128*1440)-20)*60)-(((H128*1440)-20)^1.6)*2.5)/86400),"",((((H128*1440)-20)*60)-(((H128*1440)-20)^1.6)*2.5)/86400),"")</f>
        <v/>
      </c>
      <c r="K128" s="100" t="str">
        <f>IF(FacingSheet!$B$11=15,IF(ISERROR(((((H128*1440)-33)*60)-(((H128*1440)-33)^1.6)*1.667)/86400),"",((((H128*1440)-33)*60)-(((H128*1440)-33)^1.6)*1.667)/86400),"")</f>
        <v/>
      </c>
      <c r="L128" s="100" t="str">
        <f>IF(FacingSheet!$B$11=25,IF(ISERROR(((((H128*1440)-50)*60)-(((H128*1440)-50)^1.6))/86400),"",((((H128*1440)-50)*60)-(((H128*1440)-50)^1.6))/86400),"")</f>
        <v/>
      </c>
      <c r="M128" s="100" t="str">
        <f>IF(FacingSheet!$B$11=30,IF(ISERROR(((((H128*1440)-60)*60)-((((H128*1440)-60)^1.6))/1.2)/86400),"",((((H128*1440)-60)*60)-((((H128*1440)-60)^1.6))/1.2)/86400),"")</f>
        <v/>
      </c>
      <c r="N128" s="100" t="str">
        <f>IF(FacingSheet!$B$11=50,IF(ISERROR(((((H128*1440)-105)*60)-((((H128*1440)-105)^1.6))/2)/86400),"",((((H128*1440)-105)*60)-((((H128*1440)-105)^1.6))/2)/86400),"")</f>
        <v/>
      </c>
      <c r="O128" s="100" t="str">
        <f>IF(FacingSheet!$B$11=100,IF(ISERROR(((((H128*1440)-230)*60)-((((H128*1440)-230)^1.6))/4)/86400),"",((((H128*1440)-230)*60)-((((H128*1440)-230)^1.6))/4)/86400),"")</f>
        <v/>
      </c>
      <c r="P128" s="108" t="str">
        <f>IF(FacingSheet!$B$11=10,J128,IF(FacingSheet!$B$11=15,K128,IF(FacingSheet!$B$11=25,L128,IF(FacingSheet!$B$11=30,M128,IF(FacingSheet!$B$11=50,N128,IF(FacingSheet!$B$11=100,O128,""))))))</f>
        <v/>
      </c>
      <c r="Q128" s="65" t="str">
        <f>IF(OR(F128="V",F128="FV"),IF(I128="","",IF(MONTH(FacingSheet!$S$9)&gt;MONTH(I128),YEAR(FacingSheet!$S$9)-YEAR(I128),IF(AND(MONTH(FacingSheet!$S$9)=MONTH(I128),DAY(FacingSheet!$S$9)&gt;=DAY(I128)),YEAR(FacingSheet!$S$9)-YEAR(I128),(YEAR(FacingSheet!$S$9)-YEAR(I128))-1))),"")</f>
        <v/>
      </c>
      <c r="R128" s="108" t="str">
        <f>IF(Q128="","",IF(FacingSheet!$B$11=10,VLOOKUP(Q128,Age,2,FALSE),IF(FacingSheet!$B$11=15,VLOOKUP(Q128,Age,3,FALSE),IF(FacingSheet!$B$11=25,VLOOKUP(Q128,Age,4,FALSE),IF(FacingSheet!$B$11=30,VLOOKUP(Q128,Age,5,FALSE),IF(FacingSheet!$B$11=50,VLOOKUP(Q128,Age,6,FALSE),IF(FacingSheet!$B$11=100,VLOOKUP(Q128,Age,7,FALSE),"")))))))</f>
        <v/>
      </c>
      <c r="S128" s="108" t="str">
        <f>IF(Q128="","",IF(FacingSheet!$B$11=10,VLOOKUP(Q128,AgeF,2,FALSE),IF(FacingSheet!$B$11=15,VLOOKUP(Q128,AgeF,3,FALSE),IF(FacingSheet!$B$11=25,VLOOKUP(Q128,AgeF,4,FALSE),IF(FacingSheet!$B$11=30,VLOOKUP(Q128,AgeF,5,FALSE),IF(FacingSheet!$B$11=50,VLOOKUP(Q128,AgeF,6,FALSE),IF(FacingSheet!$B$11=100,VLOOKUP(Q128,AgeF,7,FALSE),"")))))))</f>
        <v/>
      </c>
      <c r="T128" s="108" t="str">
        <f t="shared" si="4"/>
        <v/>
      </c>
      <c r="U128" s="29"/>
      <c r="V128" s="29"/>
      <c r="W128" s="29"/>
      <c r="X128" s="132"/>
      <c r="Y128" s="132"/>
      <c r="Z128" s="132"/>
    </row>
    <row r="129" spans="1:26">
      <c r="A129" s="36"/>
      <c r="B129" s="133"/>
      <c r="C129" s="133"/>
      <c r="D129" s="106" t="str">
        <f t="shared" si="3"/>
        <v xml:space="preserve"> </v>
      </c>
      <c r="E129" s="29"/>
      <c r="F129" s="29"/>
      <c r="G129" s="29"/>
      <c r="H129" s="193"/>
      <c r="I129" s="131"/>
      <c r="J129" s="100" t="str">
        <f>IF(FacingSheet!$B$11=10,IF(ISERROR(((((H129*1440)-20)*60)-(((H129*1440)-20)^1.6)*2.5)/86400),"",((((H129*1440)-20)*60)-(((H129*1440)-20)^1.6)*2.5)/86400),"")</f>
        <v/>
      </c>
      <c r="K129" s="100" t="str">
        <f>IF(FacingSheet!$B$11=15,IF(ISERROR(((((H129*1440)-33)*60)-(((H129*1440)-33)^1.6)*1.667)/86400),"",((((H129*1440)-33)*60)-(((H129*1440)-33)^1.6)*1.667)/86400),"")</f>
        <v/>
      </c>
      <c r="L129" s="100" t="str">
        <f>IF(FacingSheet!$B$11=25,IF(ISERROR(((((H129*1440)-50)*60)-(((H129*1440)-50)^1.6))/86400),"",((((H129*1440)-50)*60)-(((H129*1440)-50)^1.6))/86400),"")</f>
        <v/>
      </c>
      <c r="M129" s="100" t="str">
        <f>IF(FacingSheet!$B$11=30,IF(ISERROR(((((H129*1440)-60)*60)-((((H129*1440)-60)^1.6))/1.2)/86400),"",((((H129*1440)-60)*60)-((((H129*1440)-60)^1.6))/1.2)/86400),"")</f>
        <v/>
      </c>
      <c r="N129" s="100" t="str">
        <f>IF(FacingSheet!$B$11=50,IF(ISERROR(((((H129*1440)-105)*60)-((((H129*1440)-105)^1.6))/2)/86400),"",((((H129*1440)-105)*60)-((((H129*1440)-105)^1.6))/2)/86400),"")</f>
        <v/>
      </c>
      <c r="O129" s="100" t="str">
        <f>IF(FacingSheet!$B$11=100,IF(ISERROR(((((H129*1440)-230)*60)-((((H129*1440)-230)^1.6))/4)/86400),"",((((H129*1440)-230)*60)-((((H129*1440)-230)^1.6))/4)/86400),"")</f>
        <v/>
      </c>
      <c r="P129" s="108" t="str">
        <f>IF(FacingSheet!$B$11=10,J129,IF(FacingSheet!$B$11=15,K129,IF(FacingSheet!$B$11=25,L129,IF(FacingSheet!$B$11=30,M129,IF(FacingSheet!$B$11=50,N129,IF(FacingSheet!$B$11=100,O129,""))))))</f>
        <v/>
      </c>
      <c r="Q129" s="65" t="str">
        <f>IF(OR(F129="V",F129="FV"),IF(I129="","",IF(MONTH(FacingSheet!$S$9)&gt;MONTH(I129),YEAR(FacingSheet!$S$9)-YEAR(I129),IF(AND(MONTH(FacingSheet!$S$9)=MONTH(I129),DAY(FacingSheet!$S$9)&gt;=DAY(I129)),YEAR(FacingSheet!$S$9)-YEAR(I129),(YEAR(FacingSheet!$S$9)-YEAR(I129))-1))),"")</f>
        <v/>
      </c>
      <c r="R129" s="108" t="str">
        <f>IF(Q129="","",IF(FacingSheet!$B$11=10,VLOOKUP(Q129,Age,2,FALSE),IF(FacingSheet!$B$11=15,VLOOKUP(Q129,Age,3,FALSE),IF(FacingSheet!$B$11=25,VLOOKUP(Q129,Age,4,FALSE),IF(FacingSheet!$B$11=30,VLOOKUP(Q129,Age,5,FALSE),IF(FacingSheet!$B$11=50,VLOOKUP(Q129,Age,6,FALSE),IF(FacingSheet!$B$11=100,VLOOKUP(Q129,Age,7,FALSE),"")))))))</f>
        <v/>
      </c>
      <c r="S129" s="108" t="str">
        <f>IF(Q129="","",IF(FacingSheet!$B$11=10,VLOOKUP(Q129,AgeF,2,FALSE),IF(FacingSheet!$B$11=15,VLOOKUP(Q129,AgeF,3,FALSE),IF(FacingSheet!$B$11=25,VLOOKUP(Q129,AgeF,4,FALSE),IF(FacingSheet!$B$11=30,VLOOKUP(Q129,AgeF,5,FALSE),IF(FacingSheet!$B$11=50,VLOOKUP(Q129,AgeF,6,FALSE),IF(FacingSheet!$B$11=100,VLOOKUP(Q129,AgeF,7,FALSE),"")))))))</f>
        <v/>
      </c>
      <c r="T129" s="108" t="str">
        <f t="shared" si="4"/>
        <v/>
      </c>
      <c r="U129" s="29"/>
      <c r="V129" s="29"/>
      <c r="W129" s="29"/>
      <c r="X129" s="132"/>
      <c r="Y129" s="132"/>
      <c r="Z129" s="132"/>
    </row>
    <row r="130" spans="1:26">
      <c r="A130" s="36"/>
      <c r="B130" s="133"/>
      <c r="C130" s="133"/>
      <c r="D130" s="106" t="str">
        <f t="shared" si="3"/>
        <v xml:space="preserve"> </v>
      </c>
      <c r="E130" s="29"/>
      <c r="F130" s="29"/>
      <c r="G130" s="29"/>
      <c r="H130" s="193"/>
      <c r="I130" s="131"/>
      <c r="J130" s="100" t="str">
        <f>IF(FacingSheet!$B$11=10,IF(ISERROR(((((H130*1440)-20)*60)-(((H130*1440)-20)^1.6)*2.5)/86400),"",((((H130*1440)-20)*60)-(((H130*1440)-20)^1.6)*2.5)/86400),"")</f>
        <v/>
      </c>
      <c r="K130" s="100" t="str">
        <f>IF(FacingSheet!$B$11=15,IF(ISERROR(((((H130*1440)-33)*60)-(((H130*1440)-33)^1.6)*1.667)/86400),"",((((H130*1440)-33)*60)-(((H130*1440)-33)^1.6)*1.667)/86400),"")</f>
        <v/>
      </c>
      <c r="L130" s="100" t="str">
        <f>IF(FacingSheet!$B$11=25,IF(ISERROR(((((H130*1440)-50)*60)-(((H130*1440)-50)^1.6))/86400),"",((((H130*1440)-50)*60)-(((H130*1440)-50)^1.6))/86400),"")</f>
        <v/>
      </c>
      <c r="M130" s="100" t="str">
        <f>IF(FacingSheet!$B$11=30,IF(ISERROR(((((H130*1440)-60)*60)-((((H130*1440)-60)^1.6))/1.2)/86400),"",((((H130*1440)-60)*60)-((((H130*1440)-60)^1.6))/1.2)/86400),"")</f>
        <v/>
      </c>
      <c r="N130" s="100" t="str">
        <f>IF(FacingSheet!$B$11=50,IF(ISERROR(((((H130*1440)-105)*60)-((((H130*1440)-105)^1.6))/2)/86400),"",((((H130*1440)-105)*60)-((((H130*1440)-105)^1.6))/2)/86400),"")</f>
        <v/>
      </c>
      <c r="O130" s="100" t="str">
        <f>IF(FacingSheet!$B$11=100,IF(ISERROR(((((H130*1440)-230)*60)-((((H130*1440)-230)^1.6))/4)/86400),"",((((H130*1440)-230)*60)-((((H130*1440)-230)^1.6))/4)/86400),"")</f>
        <v/>
      </c>
      <c r="P130" s="108" t="str">
        <f>IF(FacingSheet!$B$11=10,J130,IF(FacingSheet!$B$11=15,K130,IF(FacingSheet!$B$11=25,L130,IF(FacingSheet!$B$11=30,M130,IF(FacingSheet!$B$11=50,N130,IF(FacingSheet!$B$11=100,O130,""))))))</f>
        <v/>
      </c>
      <c r="Q130" s="65" t="str">
        <f>IF(OR(F130="V",F130="FV"),IF(I130="","",IF(MONTH(FacingSheet!$S$9)&gt;MONTH(I130),YEAR(FacingSheet!$S$9)-YEAR(I130),IF(AND(MONTH(FacingSheet!$S$9)=MONTH(I130),DAY(FacingSheet!$S$9)&gt;=DAY(I130)),YEAR(FacingSheet!$S$9)-YEAR(I130),(YEAR(FacingSheet!$S$9)-YEAR(I130))-1))),"")</f>
        <v/>
      </c>
      <c r="R130" s="108" t="str">
        <f>IF(Q130="","",IF(FacingSheet!$B$11=10,VLOOKUP(Q130,Age,2,FALSE),IF(FacingSheet!$B$11=15,VLOOKUP(Q130,Age,3,FALSE),IF(FacingSheet!$B$11=25,VLOOKUP(Q130,Age,4,FALSE),IF(FacingSheet!$B$11=30,VLOOKUP(Q130,Age,5,FALSE),IF(FacingSheet!$B$11=50,VLOOKUP(Q130,Age,6,FALSE),IF(FacingSheet!$B$11=100,VLOOKUP(Q130,Age,7,FALSE),"")))))))</f>
        <v/>
      </c>
      <c r="S130" s="108" t="str">
        <f>IF(Q130="","",IF(FacingSheet!$B$11=10,VLOOKUP(Q130,AgeF,2,FALSE),IF(FacingSheet!$B$11=15,VLOOKUP(Q130,AgeF,3,FALSE),IF(FacingSheet!$B$11=25,VLOOKUP(Q130,AgeF,4,FALSE),IF(FacingSheet!$B$11=30,VLOOKUP(Q130,AgeF,5,FALSE),IF(FacingSheet!$B$11=50,VLOOKUP(Q130,AgeF,6,FALSE),IF(FacingSheet!$B$11=100,VLOOKUP(Q130,AgeF,7,FALSE),"")))))))</f>
        <v/>
      </c>
      <c r="T130" s="108" t="str">
        <f t="shared" si="4"/>
        <v/>
      </c>
      <c r="U130" s="29"/>
      <c r="V130" s="29"/>
      <c r="W130" s="29"/>
      <c r="X130" s="132"/>
      <c r="Y130" s="132"/>
      <c r="Z130" s="132"/>
    </row>
    <row r="131" spans="1:26">
      <c r="A131" s="36"/>
      <c r="B131" s="133"/>
      <c r="C131" s="133"/>
      <c r="D131" s="106" t="str">
        <f t="shared" ref="D131:D171" si="5">CONCATENATE(B131," ",C131)</f>
        <v xml:space="preserve"> </v>
      </c>
      <c r="E131" s="29"/>
      <c r="F131" s="29"/>
      <c r="G131" s="29"/>
      <c r="H131" s="193"/>
      <c r="I131" s="131"/>
      <c r="J131" s="100" t="str">
        <f>IF(FacingSheet!$B$11=10,IF(ISERROR(((((H131*1440)-20)*60)-(((H131*1440)-20)^1.6)*2.5)/86400),"",((((H131*1440)-20)*60)-(((H131*1440)-20)^1.6)*2.5)/86400),"")</f>
        <v/>
      </c>
      <c r="K131" s="100" t="str">
        <f>IF(FacingSheet!$B$11=15,IF(ISERROR(((((H131*1440)-33)*60)-(((H131*1440)-33)^1.6)*1.667)/86400),"",((((H131*1440)-33)*60)-(((H131*1440)-33)^1.6)*1.667)/86400),"")</f>
        <v/>
      </c>
      <c r="L131" s="100" t="str">
        <f>IF(FacingSheet!$B$11=25,IF(ISERROR(((((H131*1440)-50)*60)-(((H131*1440)-50)^1.6))/86400),"",((((H131*1440)-50)*60)-(((H131*1440)-50)^1.6))/86400),"")</f>
        <v/>
      </c>
      <c r="M131" s="100" t="str">
        <f>IF(FacingSheet!$B$11=30,IF(ISERROR(((((H131*1440)-60)*60)-((((H131*1440)-60)^1.6))/1.2)/86400),"",((((H131*1440)-60)*60)-((((H131*1440)-60)^1.6))/1.2)/86400),"")</f>
        <v/>
      </c>
      <c r="N131" s="100" t="str">
        <f>IF(FacingSheet!$B$11=50,IF(ISERROR(((((H131*1440)-105)*60)-((((H131*1440)-105)^1.6))/2)/86400),"",((((H131*1440)-105)*60)-((((H131*1440)-105)^1.6))/2)/86400),"")</f>
        <v/>
      </c>
      <c r="O131" s="100" t="str">
        <f>IF(FacingSheet!$B$11=100,IF(ISERROR(((((H131*1440)-230)*60)-((((H131*1440)-230)^1.6))/4)/86400),"",((((H131*1440)-230)*60)-((((H131*1440)-230)^1.6))/4)/86400),"")</f>
        <v/>
      </c>
      <c r="P131" s="108" t="str">
        <f>IF(FacingSheet!$B$11=10,J131,IF(FacingSheet!$B$11=15,K131,IF(FacingSheet!$B$11=25,L131,IF(FacingSheet!$B$11=30,M131,IF(FacingSheet!$B$11=50,N131,IF(FacingSheet!$B$11=100,O131,""))))))</f>
        <v/>
      </c>
      <c r="Q131" s="65" t="str">
        <f>IF(OR(F131="V",F131="FV"),IF(I131="","",IF(MONTH(FacingSheet!$S$9)&gt;MONTH(I131),YEAR(FacingSheet!$S$9)-YEAR(I131),IF(AND(MONTH(FacingSheet!$S$9)=MONTH(I131),DAY(FacingSheet!$S$9)&gt;=DAY(I131)),YEAR(FacingSheet!$S$9)-YEAR(I131),(YEAR(FacingSheet!$S$9)-YEAR(I131))-1))),"")</f>
        <v/>
      </c>
      <c r="R131" s="108" t="str">
        <f>IF(Q131="","",IF(FacingSheet!$B$11=10,VLOOKUP(Q131,Age,2,FALSE),IF(FacingSheet!$B$11=15,VLOOKUP(Q131,Age,3,FALSE),IF(FacingSheet!$B$11=25,VLOOKUP(Q131,Age,4,FALSE),IF(FacingSheet!$B$11=30,VLOOKUP(Q131,Age,5,FALSE),IF(FacingSheet!$B$11=50,VLOOKUP(Q131,Age,6,FALSE),IF(FacingSheet!$B$11=100,VLOOKUP(Q131,Age,7,FALSE),"")))))))</f>
        <v/>
      </c>
      <c r="S131" s="108" t="str">
        <f>IF(Q131="","",IF(FacingSheet!$B$11=10,VLOOKUP(Q131,AgeF,2,FALSE),IF(FacingSheet!$B$11=15,VLOOKUP(Q131,AgeF,3,FALSE),IF(FacingSheet!$B$11=25,VLOOKUP(Q131,AgeF,4,FALSE),IF(FacingSheet!$B$11=30,VLOOKUP(Q131,AgeF,5,FALSE),IF(FacingSheet!$B$11=50,VLOOKUP(Q131,AgeF,6,FALSE),IF(FacingSheet!$B$11=100,VLOOKUP(Q131,AgeF,7,FALSE),"")))))))</f>
        <v/>
      </c>
      <c r="T131" s="108" t="str">
        <f t="shared" si="4"/>
        <v/>
      </c>
      <c r="U131" s="29"/>
      <c r="V131" s="29"/>
      <c r="W131" s="29"/>
      <c r="X131" s="132"/>
      <c r="Y131" s="132"/>
      <c r="Z131" s="132"/>
    </row>
    <row r="132" spans="1:26">
      <c r="A132" s="36"/>
      <c r="B132" s="133"/>
      <c r="C132" s="133"/>
      <c r="D132" s="106" t="str">
        <f t="shared" si="5"/>
        <v xml:space="preserve"> </v>
      </c>
      <c r="E132" s="29"/>
      <c r="F132" s="29"/>
      <c r="G132" s="29"/>
      <c r="H132" s="193"/>
      <c r="I132" s="131"/>
      <c r="J132" s="100" t="str">
        <f>IF(FacingSheet!$B$11=10,IF(ISERROR(((((H132*1440)-20)*60)-(((H132*1440)-20)^1.6)*2.5)/86400),"",((((H132*1440)-20)*60)-(((H132*1440)-20)^1.6)*2.5)/86400),"")</f>
        <v/>
      </c>
      <c r="K132" s="100" t="str">
        <f>IF(FacingSheet!$B$11=15,IF(ISERROR(((((H132*1440)-33)*60)-(((H132*1440)-33)^1.6)*1.667)/86400),"",((((H132*1440)-33)*60)-(((H132*1440)-33)^1.6)*1.667)/86400),"")</f>
        <v/>
      </c>
      <c r="L132" s="100" t="str">
        <f>IF(FacingSheet!$B$11=25,IF(ISERROR(((((H132*1440)-50)*60)-(((H132*1440)-50)^1.6))/86400),"",((((H132*1440)-50)*60)-(((H132*1440)-50)^1.6))/86400),"")</f>
        <v/>
      </c>
      <c r="M132" s="100" t="str">
        <f>IF(FacingSheet!$B$11=30,IF(ISERROR(((((H132*1440)-60)*60)-((((H132*1440)-60)^1.6))/1.2)/86400),"",((((H132*1440)-60)*60)-((((H132*1440)-60)^1.6))/1.2)/86400),"")</f>
        <v/>
      </c>
      <c r="N132" s="100" t="str">
        <f>IF(FacingSheet!$B$11=50,IF(ISERROR(((((H132*1440)-105)*60)-((((H132*1440)-105)^1.6))/2)/86400),"",((((H132*1440)-105)*60)-((((H132*1440)-105)^1.6))/2)/86400),"")</f>
        <v/>
      </c>
      <c r="O132" s="100" t="str">
        <f>IF(FacingSheet!$B$11=100,IF(ISERROR(((((H132*1440)-230)*60)-((((H132*1440)-230)^1.6))/4)/86400),"",((((H132*1440)-230)*60)-((((H132*1440)-230)^1.6))/4)/86400),"")</f>
        <v/>
      </c>
      <c r="P132" s="108" t="str">
        <f>IF(FacingSheet!$B$11=10,J132,IF(FacingSheet!$B$11=15,K132,IF(FacingSheet!$B$11=25,L132,IF(FacingSheet!$B$11=30,M132,IF(FacingSheet!$B$11=50,N132,IF(FacingSheet!$B$11=100,O132,""))))))</f>
        <v/>
      </c>
      <c r="Q132" s="65" t="str">
        <f>IF(OR(F132="V",F132="FV"),IF(I132="","",IF(MONTH(FacingSheet!$S$9)&gt;MONTH(I132),YEAR(FacingSheet!$S$9)-YEAR(I132),IF(AND(MONTH(FacingSheet!$S$9)=MONTH(I132),DAY(FacingSheet!$S$9)&gt;=DAY(I132)),YEAR(FacingSheet!$S$9)-YEAR(I132),(YEAR(FacingSheet!$S$9)-YEAR(I132))-1))),"")</f>
        <v/>
      </c>
      <c r="R132" s="108" t="str">
        <f>IF(Q132="","",IF(FacingSheet!$B$11=10,VLOOKUP(Q132,Age,2,FALSE),IF(FacingSheet!$B$11=15,VLOOKUP(Q132,Age,3,FALSE),IF(FacingSheet!$B$11=25,VLOOKUP(Q132,Age,4,FALSE),IF(FacingSheet!$B$11=30,VLOOKUP(Q132,Age,5,FALSE),IF(FacingSheet!$B$11=50,VLOOKUP(Q132,Age,6,FALSE),IF(FacingSheet!$B$11=100,VLOOKUP(Q132,Age,7,FALSE),"")))))))</f>
        <v/>
      </c>
      <c r="S132" s="108" t="str">
        <f>IF(Q132="","",IF(FacingSheet!$B$11=10,VLOOKUP(Q132,AgeF,2,FALSE),IF(FacingSheet!$B$11=15,VLOOKUP(Q132,AgeF,3,FALSE),IF(FacingSheet!$B$11=25,VLOOKUP(Q132,AgeF,4,FALSE),IF(FacingSheet!$B$11=30,VLOOKUP(Q132,AgeF,5,FALSE),IF(FacingSheet!$B$11=50,VLOOKUP(Q132,AgeF,6,FALSE),IF(FacingSheet!$B$11=100,VLOOKUP(Q132,AgeF,7,FALSE),"")))))))</f>
        <v/>
      </c>
      <c r="T132" s="108" t="str">
        <f t="shared" si="4"/>
        <v/>
      </c>
      <c r="U132" s="29"/>
      <c r="V132" s="29"/>
      <c r="W132" s="29"/>
      <c r="X132" s="132"/>
      <c r="Y132" s="132"/>
      <c r="Z132" s="132"/>
    </row>
    <row r="133" spans="1:26">
      <c r="A133" s="36"/>
      <c r="B133" s="133"/>
      <c r="C133" s="133"/>
      <c r="D133" s="106" t="str">
        <f t="shared" si="5"/>
        <v xml:space="preserve"> </v>
      </c>
      <c r="E133" s="29"/>
      <c r="F133" s="29"/>
      <c r="G133" s="29"/>
      <c r="H133" s="193"/>
      <c r="I133" s="131"/>
      <c r="J133" s="100" t="str">
        <f>IF(FacingSheet!$B$11=10,IF(ISERROR(((((H133*1440)-20)*60)-(((H133*1440)-20)^1.6)*2.5)/86400),"",((((H133*1440)-20)*60)-(((H133*1440)-20)^1.6)*2.5)/86400),"")</f>
        <v/>
      </c>
      <c r="K133" s="100" t="str">
        <f>IF(FacingSheet!$B$11=15,IF(ISERROR(((((H133*1440)-33)*60)-(((H133*1440)-33)^1.6)*1.667)/86400),"",((((H133*1440)-33)*60)-(((H133*1440)-33)^1.6)*1.667)/86400),"")</f>
        <v/>
      </c>
      <c r="L133" s="100" t="str">
        <f>IF(FacingSheet!$B$11=25,IF(ISERROR(((((H133*1440)-50)*60)-(((H133*1440)-50)^1.6))/86400),"",((((H133*1440)-50)*60)-(((H133*1440)-50)^1.6))/86400),"")</f>
        <v/>
      </c>
      <c r="M133" s="100" t="str">
        <f>IF(FacingSheet!$B$11=30,IF(ISERROR(((((H133*1440)-60)*60)-((((H133*1440)-60)^1.6))/1.2)/86400),"",((((H133*1440)-60)*60)-((((H133*1440)-60)^1.6))/1.2)/86400),"")</f>
        <v/>
      </c>
      <c r="N133" s="100" t="str">
        <f>IF(FacingSheet!$B$11=50,IF(ISERROR(((((H133*1440)-105)*60)-((((H133*1440)-105)^1.6))/2)/86400),"",((((H133*1440)-105)*60)-((((H133*1440)-105)^1.6))/2)/86400),"")</f>
        <v/>
      </c>
      <c r="O133" s="100" t="str">
        <f>IF(FacingSheet!$B$11=100,IF(ISERROR(((((H133*1440)-230)*60)-((((H133*1440)-230)^1.6))/4)/86400),"",((((H133*1440)-230)*60)-((((H133*1440)-230)^1.6))/4)/86400),"")</f>
        <v/>
      </c>
      <c r="P133" s="108" t="str">
        <f>IF(FacingSheet!$B$11=10,J133,IF(FacingSheet!$B$11=15,K133,IF(FacingSheet!$B$11=25,L133,IF(FacingSheet!$B$11=30,M133,IF(FacingSheet!$B$11=50,N133,IF(FacingSheet!$B$11=100,O133,""))))))</f>
        <v/>
      </c>
      <c r="Q133" s="65" t="str">
        <f>IF(OR(F133="V",F133="FV"),IF(I133="","",IF(MONTH(FacingSheet!$S$9)&gt;MONTH(I133),YEAR(FacingSheet!$S$9)-YEAR(I133),IF(AND(MONTH(FacingSheet!$S$9)=MONTH(I133),DAY(FacingSheet!$S$9)&gt;=DAY(I133)),YEAR(FacingSheet!$S$9)-YEAR(I133),(YEAR(FacingSheet!$S$9)-YEAR(I133))-1))),"")</f>
        <v/>
      </c>
      <c r="R133" s="108" t="str">
        <f>IF(Q133="","",IF(FacingSheet!$B$11=10,VLOOKUP(Q133,Age,2,FALSE),IF(FacingSheet!$B$11=15,VLOOKUP(Q133,Age,3,FALSE),IF(FacingSheet!$B$11=25,VLOOKUP(Q133,Age,4,FALSE),IF(FacingSheet!$B$11=30,VLOOKUP(Q133,Age,5,FALSE),IF(FacingSheet!$B$11=50,VLOOKUP(Q133,Age,6,FALSE),IF(FacingSheet!$B$11=100,VLOOKUP(Q133,Age,7,FALSE),"")))))))</f>
        <v/>
      </c>
      <c r="S133" s="108" t="str">
        <f>IF(Q133="","",IF(FacingSheet!$B$11=10,VLOOKUP(Q133,AgeF,2,FALSE),IF(FacingSheet!$B$11=15,VLOOKUP(Q133,AgeF,3,FALSE),IF(FacingSheet!$B$11=25,VLOOKUP(Q133,AgeF,4,FALSE),IF(FacingSheet!$B$11=30,VLOOKUP(Q133,AgeF,5,FALSE),IF(FacingSheet!$B$11=50,VLOOKUP(Q133,AgeF,6,FALSE),IF(FacingSheet!$B$11=100,VLOOKUP(Q133,AgeF,7,FALSE),"")))))))</f>
        <v/>
      </c>
      <c r="T133" s="108" t="str">
        <f t="shared" si="4"/>
        <v/>
      </c>
      <c r="U133" s="29"/>
      <c r="V133" s="29"/>
      <c r="W133" s="29"/>
      <c r="X133" s="132"/>
      <c r="Y133" s="132"/>
      <c r="Z133" s="132"/>
    </row>
    <row r="134" spans="1:26">
      <c r="A134" s="36"/>
      <c r="B134" s="133"/>
      <c r="C134" s="133"/>
      <c r="D134" s="106" t="str">
        <f t="shared" si="5"/>
        <v xml:space="preserve"> </v>
      </c>
      <c r="E134" s="29"/>
      <c r="F134" s="29"/>
      <c r="G134" s="29"/>
      <c r="H134" s="193"/>
      <c r="I134" s="131"/>
      <c r="J134" s="100" t="str">
        <f>IF(FacingSheet!$B$11=10,IF(ISERROR(((((H134*1440)-20)*60)-(((H134*1440)-20)^1.6)*2.5)/86400),"",((((H134*1440)-20)*60)-(((H134*1440)-20)^1.6)*2.5)/86400),"")</f>
        <v/>
      </c>
      <c r="K134" s="100" t="str">
        <f>IF(FacingSheet!$B$11=15,IF(ISERROR(((((H134*1440)-33)*60)-(((H134*1440)-33)^1.6)*1.667)/86400),"",((((H134*1440)-33)*60)-(((H134*1440)-33)^1.6)*1.667)/86400),"")</f>
        <v/>
      </c>
      <c r="L134" s="100" t="str">
        <f>IF(FacingSheet!$B$11=25,IF(ISERROR(((((H134*1440)-50)*60)-(((H134*1440)-50)^1.6))/86400),"",((((H134*1440)-50)*60)-(((H134*1440)-50)^1.6))/86400),"")</f>
        <v/>
      </c>
      <c r="M134" s="100" t="str">
        <f>IF(FacingSheet!$B$11=30,IF(ISERROR(((((H134*1440)-60)*60)-((((H134*1440)-60)^1.6))/1.2)/86400),"",((((H134*1440)-60)*60)-((((H134*1440)-60)^1.6))/1.2)/86400),"")</f>
        <v/>
      </c>
      <c r="N134" s="100" t="str">
        <f>IF(FacingSheet!$B$11=50,IF(ISERROR(((((H134*1440)-105)*60)-((((H134*1440)-105)^1.6))/2)/86400),"",((((H134*1440)-105)*60)-((((H134*1440)-105)^1.6))/2)/86400),"")</f>
        <v/>
      </c>
      <c r="O134" s="100" t="str">
        <f>IF(FacingSheet!$B$11=100,IF(ISERROR(((((H134*1440)-230)*60)-((((H134*1440)-230)^1.6))/4)/86400),"",((((H134*1440)-230)*60)-((((H134*1440)-230)^1.6))/4)/86400),"")</f>
        <v/>
      </c>
      <c r="P134" s="108" t="str">
        <f>IF(FacingSheet!$B$11=10,J134,IF(FacingSheet!$B$11=15,K134,IF(FacingSheet!$B$11=25,L134,IF(FacingSheet!$B$11=30,M134,IF(FacingSheet!$B$11=50,N134,IF(FacingSheet!$B$11=100,O134,""))))))</f>
        <v/>
      </c>
      <c r="Q134" s="65" t="str">
        <f>IF(OR(F134="V",F134="FV"),IF(I134="","",IF(MONTH(FacingSheet!$S$9)&gt;MONTH(I134),YEAR(FacingSheet!$S$9)-YEAR(I134),IF(AND(MONTH(FacingSheet!$S$9)=MONTH(I134),DAY(FacingSheet!$S$9)&gt;=DAY(I134)),YEAR(FacingSheet!$S$9)-YEAR(I134),(YEAR(FacingSheet!$S$9)-YEAR(I134))-1))),"")</f>
        <v/>
      </c>
      <c r="R134" s="108" t="str">
        <f>IF(Q134="","",IF(FacingSheet!$B$11=10,VLOOKUP(Q134,Age,2,FALSE),IF(FacingSheet!$B$11=15,VLOOKUP(Q134,Age,3,FALSE),IF(FacingSheet!$B$11=25,VLOOKUP(Q134,Age,4,FALSE),IF(FacingSheet!$B$11=30,VLOOKUP(Q134,Age,5,FALSE),IF(FacingSheet!$B$11=50,VLOOKUP(Q134,Age,6,FALSE),IF(FacingSheet!$B$11=100,VLOOKUP(Q134,Age,7,FALSE),"")))))))</f>
        <v/>
      </c>
      <c r="S134" s="108" t="str">
        <f>IF(Q134="","",IF(FacingSheet!$B$11=10,VLOOKUP(Q134,AgeF,2,FALSE),IF(FacingSheet!$B$11=15,VLOOKUP(Q134,AgeF,3,FALSE),IF(FacingSheet!$B$11=25,VLOOKUP(Q134,AgeF,4,FALSE),IF(FacingSheet!$B$11=30,VLOOKUP(Q134,AgeF,5,FALSE),IF(FacingSheet!$B$11=50,VLOOKUP(Q134,AgeF,6,FALSE),IF(FacingSheet!$B$11=100,VLOOKUP(Q134,AgeF,7,FALSE),"")))))))</f>
        <v/>
      </c>
      <c r="T134" s="108" t="str">
        <f t="shared" si="4"/>
        <v/>
      </c>
      <c r="U134" s="29"/>
      <c r="V134" s="29"/>
      <c r="W134" s="29"/>
      <c r="X134" s="132"/>
      <c r="Y134" s="132"/>
      <c r="Z134" s="132"/>
    </row>
    <row r="135" spans="1:26">
      <c r="A135" s="36"/>
      <c r="B135" s="133"/>
      <c r="C135" s="133"/>
      <c r="D135" s="106" t="str">
        <f t="shared" si="5"/>
        <v xml:space="preserve"> </v>
      </c>
      <c r="E135" s="29"/>
      <c r="F135" s="29"/>
      <c r="G135" s="29"/>
      <c r="H135" s="193"/>
      <c r="I135" s="131"/>
      <c r="J135" s="100" t="str">
        <f>IF(FacingSheet!$B$11=10,IF(ISERROR(((((H135*1440)-20)*60)-(((H135*1440)-20)^1.6)*2.5)/86400),"",((((H135*1440)-20)*60)-(((H135*1440)-20)^1.6)*2.5)/86400),"")</f>
        <v/>
      </c>
      <c r="K135" s="100" t="str">
        <f>IF(FacingSheet!$B$11=15,IF(ISERROR(((((H135*1440)-33)*60)-(((H135*1440)-33)^1.6)*1.667)/86400),"",((((H135*1440)-33)*60)-(((H135*1440)-33)^1.6)*1.667)/86400),"")</f>
        <v/>
      </c>
      <c r="L135" s="100" t="str">
        <f>IF(FacingSheet!$B$11=25,IF(ISERROR(((((H135*1440)-50)*60)-(((H135*1440)-50)^1.6))/86400),"",((((H135*1440)-50)*60)-(((H135*1440)-50)^1.6))/86400),"")</f>
        <v/>
      </c>
      <c r="M135" s="100" t="str">
        <f>IF(FacingSheet!$B$11=30,IF(ISERROR(((((H135*1440)-60)*60)-((((H135*1440)-60)^1.6))/1.2)/86400),"",((((H135*1440)-60)*60)-((((H135*1440)-60)^1.6))/1.2)/86400),"")</f>
        <v/>
      </c>
      <c r="N135" s="100" t="str">
        <f>IF(FacingSheet!$B$11=50,IF(ISERROR(((((H135*1440)-105)*60)-((((H135*1440)-105)^1.6))/2)/86400),"",((((H135*1440)-105)*60)-((((H135*1440)-105)^1.6))/2)/86400),"")</f>
        <v/>
      </c>
      <c r="O135" s="100" t="str">
        <f>IF(FacingSheet!$B$11=100,IF(ISERROR(((((H135*1440)-230)*60)-((((H135*1440)-230)^1.6))/4)/86400),"",((((H135*1440)-230)*60)-((((H135*1440)-230)^1.6))/4)/86400),"")</f>
        <v/>
      </c>
      <c r="P135" s="108" t="str">
        <f>IF(FacingSheet!$B$11=10,J135,IF(FacingSheet!$B$11=15,K135,IF(FacingSheet!$B$11=25,L135,IF(FacingSheet!$B$11=30,M135,IF(FacingSheet!$B$11=50,N135,IF(FacingSheet!$B$11=100,O135,""))))))</f>
        <v/>
      </c>
      <c r="Q135" s="65" t="str">
        <f>IF(OR(F135="V",F135="FV"),IF(I135="","",IF(MONTH(FacingSheet!$S$9)&gt;MONTH(I135),YEAR(FacingSheet!$S$9)-YEAR(I135),IF(AND(MONTH(FacingSheet!$S$9)=MONTH(I135),DAY(FacingSheet!$S$9)&gt;=DAY(I135)),YEAR(FacingSheet!$S$9)-YEAR(I135),(YEAR(FacingSheet!$S$9)-YEAR(I135))-1))),"")</f>
        <v/>
      </c>
      <c r="R135" s="108" t="str">
        <f>IF(Q135="","",IF(FacingSheet!$B$11=10,VLOOKUP(Q135,Age,2,FALSE),IF(FacingSheet!$B$11=15,VLOOKUP(Q135,Age,3,FALSE),IF(FacingSheet!$B$11=25,VLOOKUP(Q135,Age,4,FALSE),IF(FacingSheet!$B$11=30,VLOOKUP(Q135,Age,5,FALSE),IF(FacingSheet!$B$11=50,VLOOKUP(Q135,Age,6,FALSE),IF(FacingSheet!$B$11=100,VLOOKUP(Q135,Age,7,FALSE),"")))))))</f>
        <v/>
      </c>
      <c r="S135" s="108" t="str">
        <f>IF(Q135="","",IF(FacingSheet!$B$11=10,VLOOKUP(Q135,AgeF,2,FALSE),IF(FacingSheet!$B$11=15,VLOOKUP(Q135,AgeF,3,FALSE),IF(FacingSheet!$B$11=25,VLOOKUP(Q135,AgeF,4,FALSE),IF(FacingSheet!$B$11=30,VLOOKUP(Q135,AgeF,5,FALSE),IF(FacingSheet!$B$11=50,VLOOKUP(Q135,AgeF,6,FALSE),IF(FacingSheet!$B$11=100,VLOOKUP(Q135,AgeF,7,FALSE),"")))))))</f>
        <v/>
      </c>
      <c r="T135" s="108" t="str">
        <f t="shared" si="4"/>
        <v/>
      </c>
      <c r="U135" s="29"/>
      <c r="V135" s="29"/>
      <c r="W135" s="29"/>
      <c r="X135" s="132"/>
      <c r="Y135" s="132"/>
      <c r="Z135" s="132"/>
    </row>
    <row r="136" spans="1:26">
      <c r="A136" s="36"/>
      <c r="B136" s="133"/>
      <c r="C136" s="133"/>
      <c r="D136" s="106" t="str">
        <f t="shared" si="5"/>
        <v xml:space="preserve"> </v>
      </c>
      <c r="E136" s="29"/>
      <c r="F136" s="29"/>
      <c r="G136" s="29"/>
      <c r="H136" s="193"/>
      <c r="I136" s="131"/>
      <c r="J136" s="100" t="str">
        <f>IF(FacingSheet!$B$11=10,IF(ISERROR(((((H136*1440)-20)*60)-(((H136*1440)-20)^1.6)*2.5)/86400),"",((((H136*1440)-20)*60)-(((H136*1440)-20)^1.6)*2.5)/86400),"")</f>
        <v/>
      </c>
      <c r="K136" s="100" t="str">
        <f>IF(FacingSheet!$B$11=15,IF(ISERROR(((((H136*1440)-33)*60)-(((H136*1440)-33)^1.6)*1.667)/86400),"",((((H136*1440)-33)*60)-(((H136*1440)-33)^1.6)*1.667)/86400),"")</f>
        <v/>
      </c>
      <c r="L136" s="100" t="str">
        <f>IF(FacingSheet!$B$11=25,IF(ISERROR(((((H136*1440)-50)*60)-(((H136*1440)-50)^1.6))/86400),"",((((H136*1440)-50)*60)-(((H136*1440)-50)^1.6))/86400),"")</f>
        <v/>
      </c>
      <c r="M136" s="100" t="str">
        <f>IF(FacingSheet!$B$11=30,IF(ISERROR(((((H136*1440)-60)*60)-((((H136*1440)-60)^1.6))/1.2)/86400),"",((((H136*1440)-60)*60)-((((H136*1440)-60)^1.6))/1.2)/86400),"")</f>
        <v/>
      </c>
      <c r="N136" s="100" t="str">
        <f>IF(FacingSheet!$B$11=50,IF(ISERROR(((((H136*1440)-105)*60)-((((H136*1440)-105)^1.6))/2)/86400),"",((((H136*1440)-105)*60)-((((H136*1440)-105)^1.6))/2)/86400),"")</f>
        <v/>
      </c>
      <c r="O136" s="100" t="str">
        <f>IF(FacingSheet!$B$11=100,IF(ISERROR(((((H136*1440)-230)*60)-((((H136*1440)-230)^1.6))/4)/86400),"",((((H136*1440)-230)*60)-((((H136*1440)-230)^1.6))/4)/86400),"")</f>
        <v/>
      </c>
      <c r="P136" s="108" t="str">
        <f>IF(FacingSheet!$B$11=10,J136,IF(FacingSheet!$B$11=15,K136,IF(FacingSheet!$B$11=25,L136,IF(FacingSheet!$B$11=30,M136,IF(FacingSheet!$B$11=50,N136,IF(FacingSheet!$B$11=100,O136,""))))))</f>
        <v/>
      </c>
      <c r="Q136" s="65" t="str">
        <f>IF(OR(F136="V",F136="FV"),IF(I136="","",IF(MONTH(FacingSheet!$S$9)&gt;MONTH(I136),YEAR(FacingSheet!$S$9)-YEAR(I136),IF(AND(MONTH(FacingSheet!$S$9)=MONTH(I136),DAY(FacingSheet!$S$9)&gt;=DAY(I136)),YEAR(FacingSheet!$S$9)-YEAR(I136),(YEAR(FacingSheet!$S$9)-YEAR(I136))-1))),"")</f>
        <v/>
      </c>
      <c r="R136" s="108" t="str">
        <f>IF(Q136="","",IF(FacingSheet!$B$11=10,VLOOKUP(Q136,Age,2,FALSE),IF(FacingSheet!$B$11=15,VLOOKUP(Q136,Age,3,FALSE),IF(FacingSheet!$B$11=25,VLOOKUP(Q136,Age,4,FALSE),IF(FacingSheet!$B$11=30,VLOOKUP(Q136,Age,5,FALSE),IF(FacingSheet!$B$11=50,VLOOKUP(Q136,Age,6,FALSE),IF(FacingSheet!$B$11=100,VLOOKUP(Q136,Age,7,FALSE),"")))))))</f>
        <v/>
      </c>
      <c r="S136" s="108" t="str">
        <f>IF(Q136="","",IF(FacingSheet!$B$11=10,VLOOKUP(Q136,AgeF,2,FALSE),IF(FacingSheet!$B$11=15,VLOOKUP(Q136,AgeF,3,FALSE),IF(FacingSheet!$B$11=25,VLOOKUP(Q136,AgeF,4,FALSE),IF(FacingSheet!$B$11=30,VLOOKUP(Q136,AgeF,5,FALSE),IF(FacingSheet!$B$11=50,VLOOKUP(Q136,AgeF,6,FALSE),IF(FacingSheet!$B$11=100,VLOOKUP(Q136,AgeF,7,FALSE),"")))))))</f>
        <v/>
      </c>
      <c r="T136" s="108" t="str">
        <f t="shared" si="4"/>
        <v/>
      </c>
      <c r="U136" s="29"/>
      <c r="V136" s="29"/>
      <c r="W136" s="29"/>
      <c r="X136" s="132"/>
      <c r="Y136" s="132"/>
      <c r="Z136" s="132"/>
    </row>
    <row r="137" spans="1:26">
      <c r="A137" s="36"/>
      <c r="B137" s="133"/>
      <c r="C137" s="133"/>
      <c r="D137" s="106" t="str">
        <f t="shared" si="5"/>
        <v xml:space="preserve"> </v>
      </c>
      <c r="E137" s="29"/>
      <c r="F137" s="29"/>
      <c r="G137" s="29"/>
      <c r="H137" s="193"/>
      <c r="I137" s="131"/>
      <c r="J137" s="100" t="str">
        <f>IF(FacingSheet!$B$11=10,IF(ISERROR(((((H137*1440)-20)*60)-(((H137*1440)-20)^1.6)*2.5)/86400),"",((((H137*1440)-20)*60)-(((H137*1440)-20)^1.6)*2.5)/86400),"")</f>
        <v/>
      </c>
      <c r="K137" s="100" t="str">
        <f>IF(FacingSheet!$B$11=15,IF(ISERROR(((((H137*1440)-33)*60)-(((H137*1440)-33)^1.6)*1.667)/86400),"",((((H137*1440)-33)*60)-(((H137*1440)-33)^1.6)*1.667)/86400),"")</f>
        <v/>
      </c>
      <c r="L137" s="100" t="str">
        <f>IF(FacingSheet!$B$11=25,IF(ISERROR(((((H137*1440)-50)*60)-(((H137*1440)-50)^1.6))/86400),"",((((H137*1440)-50)*60)-(((H137*1440)-50)^1.6))/86400),"")</f>
        <v/>
      </c>
      <c r="M137" s="100" t="str">
        <f>IF(FacingSheet!$B$11=30,IF(ISERROR(((((H137*1440)-60)*60)-((((H137*1440)-60)^1.6))/1.2)/86400),"",((((H137*1440)-60)*60)-((((H137*1440)-60)^1.6))/1.2)/86400),"")</f>
        <v/>
      </c>
      <c r="N137" s="100" t="str">
        <f>IF(FacingSheet!$B$11=50,IF(ISERROR(((((H137*1440)-105)*60)-((((H137*1440)-105)^1.6))/2)/86400),"",((((H137*1440)-105)*60)-((((H137*1440)-105)^1.6))/2)/86400),"")</f>
        <v/>
      </c>
      <c r="O137" s="100" t="str">
        <f>IF(FacingSheet!$B$11=100,IF(ISERROR(((((H137*1440)-230)*60)-((((H137*1440)-230)^1.6))/4)/86400),"",((((H137*1440)-230)*60)-((((H137*1440)-230)^1.6))/4)/86400),"")</f>
        <v/>
      </c>
      <c r="P137" s="108" t="str">
        <f>IF(FacingSheet!$B$11=10,J137,IF(FacingSheet!$B$11=15,K137,IF(FacingSheet!$B$11=25,L137,IF(FacingSheet!$B$11=30,M137,IF(FacingSheet!$B$11=50,N137,IF(FacingSheet!$B$11=100,O137,""))))))</f>
        <v/>
      </c>
      <c r="Q137" s="65" t="str">
        <f>IF(OR(F137="V",F137="FV"),IF(I137="","",IF(MONTH(FacingSheet!$S$9)&gt;MONTH(I137),YEAR(FacingSheet!$S$9)-YEAR(I137),IF(AND(MONTH(FacingSheet!$S$9)=MONTH(I137),DAY(FacingSheet!$S$9)&gt;=DAY(I137)),YEAR(FacingSheet!$S$9)-YEAR(I137),(YEAR(FacingSheet!$S$9)-YEAR(I137))-1))),"")</f>
        <v/>
      </c>
      <c r="R137" s="108" t="str">
        <f>IF(Q137="","",IF(FacingSheet!$B$11=10,VLOOKUP(Q137,Age,2,FALSE),IF(FacingSheet!$B$11=15,VLOOKUP(Q137,Age,3,FALSE),IF(FacingSheet!$B$11=25,VLOOKUP(Q137,Age,4,FALSE),IF(FacingSheet!$B$11=30,VLOOKUP(Q137,Age,5,FALSE),IF(FacingSheet!$B$11=50,VLOOKUP(Q137,Age,6,FALSE),IF(FacingSheet!$B$11=100,VLOOKUP(Q137,Age,7,FALSE),"")))))))</f>
        <v/>
      </c>
      <c r="S137" s="108" t="str">
        <f>IF(Q137="","",IF(FacingSheet!$B$11=10,VLOOKUP(Q137,AgeF,2,FALSE),IF(FacingSheet!$B$11=15,VLOOKUP(Q137,AgeF,3,FALSE),IF(FacingSheet!$B$11=25,VLOOKUP(Q137,AgeF,4,FALSE),IF(FacingSheet!$B$11=30,VLOOKUP(Q137,AgeF,5,FALSE),IF(FacingSheet!$B$11=50,VLOOKUP(Q137,AgeF,6,FALSE),IF(FacingSheet!$B$11=100,VLOOKUP(Q137,AgeF,7,FALSE),"")))))))</f>
        <v/>
      </c>
      <c r="T137" s="108" t="str">
        <f t="shared" si="4"/>
        <v/>
      </c>
      <c r="U137" s="29"/>
      <c r="V137" s="29"/>
      <c r="W137" s="29"/>
      <c r="X137" s="132"/>
      <c r="Y137" s="132"/>
      <c r="Z137" s="132"/>
    </row>
    <row r="138" spans="1:26">
      <c r="A138" s="36"/>
      <c r="B138" s="133"/>
      <c r="C138" s="133"/>
      <c r="D138" s="106" t="str">
        <f t="shared" si="5"/>
        <v xml:space="preserve"> </v>
      </c>
      <c r="E138" s="29"/>
      <c r="F138" s="29"/>
      <c r="G138" s="29"/>
      <c r="H138" s="193"/>
      <c r="I138" s="131"/>
      <c r="J138" s="100" t="str">
        <f>IF(FacingSheet!$B$11=10,IF(ISERROR(((((H138*1440)-20)*60)-(((H138*1440)-20)^1.6)*2.5)/86400),"",((((H138*1440)-20)*60)-(((H138*1440)-20)^1.6)*2.5)/86400),"")</f>
        <v/>
      </c>
      <c r="K138" s="100" t="str">
        <f>IF(FacingSheet!$B$11=15,IF(ISERROR(((((H138*1440)-33)*60)-(((H138*1440)-33)^1.6)*1.667)/86400),"",((((H138*1440)-33)*60)-(((H138*1440)-33)^1.6)*1.667)/86400),"")</f>
        <v/>
      </c>
      <c r="L138" s="100" t="str">
        <f>IF(FacingSheet!$B$11=25,IF(ISERROR(((((H138*1440)-50)*60)-(((H138*1440)-50)^1.6))/86400),"",((((H138*1440)-50)*60)-(((H138*1440)-50)^1.6))/86400),"")</f>
        <v/>
      </c>
      <c r="M138" s="100" t="str">
        <f>IF(FacingSheet!$B$11=30,IF(ISERROR(((((H138*1440)-60)*60)-((((H138*1440)-60)^1.6))/1.2)/86400),"",((((H138*1440)-60)*60)-((((H138*1440)-60)^1.6))/1.2)/86400),"")</f>
        <v/>
      </c>
      <c r="N138" s="100" t="str">
        <f>IF(FacingSheet!$B$11=50,IF(ISERROR(((((H138*1440)-105)*60)-((((H138*1440)-105)^1.6))/2)/86400),"",((((H138*1440)-105)*60)-((((H138*1440)-105)^1.6))/2)/86400),"")</f>
        <v/>
      </c>
      <c r="O138" s="100" t="str">
        <f>IF(FacingSheet!$B$11=100,IF(ISERROR(((((H138*1440)-230)*60)-((((H138*1440)-230)^1.6))/4)/86400),"",((((H138*1440)-230)*60)-((((H138*1440)-230)^1.6))/4)/86400),"")</f>
        <v/>
      </c>
      <c r="P138" s="108" t="str">
        <f>IF(FacingSheet!$B$11=10,J138,IF(FacingSheet!$B$11=15,K138,IF(FacingSheet!$B$11=25,L138,IF(FacingSheet!$B$11=30,M138,IF(FacingSheet!$B$11=50,N138,IF(FacingSheet!$B$11=100,O138,""))))))</f>
        <v/>
      </c>
      <c r="Q138" s="65" t="str">
        <f>IF(OR(F138="V",F138="FV"),IF(I138="","",IF(MONTH(FacingSheet!$S$9)&gt;MONTH(I138),YEAR(FacingSheet!$S$9)-YEAR(I138),IF(AND(MONTH(FacingSheet!$S$9)=MONTH(I138),DAY(FacingSheet!$S$9)&gt;=DAY(I138)),YEAR(FacingSheet!$S$9)-YEAR(I138),(YEAR(FacingSheet!$S$9)-YEAR(I138))-1))),"")</f>
        <v/>
      </c>
      <c r="R138" s="108" t="str">
        <f>IF(Q138="","",IF(FacingSheet!$B$11=10,VLOOKUP(Q138,Age,2,FALSE),IF(FacingSheet!$B$11=15,VLOOKUP(Q138,Age,3,FALSE),IF(FacingSheet!$B$11=25,VLOOKUP(Q138,Age,4,FALSE),IF(FacingSheet!$B$11=30,VLOOKUP(Q138,Age,5,FALSE),IF(FacingSheet!$B$11=50,VLOOKUP(Q138,Age,6,FALSE),IF(FacingSheet!$B$11=100,VLOOKUP(Q138,Age,7,FALSE),"")))))))</f>
        <v/>
      </c>
      <c r="S138" s="108" t="str">
        <f>IF(Q138="","",IF(FacingSheet!$B$11=10,VLOOKUP(Q138,AgeF,2,FALSE),IF(FacingSheet!$B$11=15,VLOOKUP(Q138,AgeF,3,FALSE),IF(FacingSheet!$B$11=25,VLOOKUP(Q138,AgeF,4,FALSE),IF(FacingSheet!$B$11=30,VLOOKUP(Q138,AgeF,5,FALSE),IF(FacingSheet!$B$11=50,VLOOKUP(Q138,AgeF,6,FALSE),IF(FacingSheet!$B$11=100,VLOOKUP(Q138,AgeF,7,FALSE),"")))))))</f>
        <v/>
      </c>
      <c r="T138" s="108" t="str">
        <f t="shared" si="4"/>
        <v/>
      </c>
      <c r="U138" s="29"/>
      <c r="V138" s="29"/>
      <c r="W138" s="29"/>
      <c r="X138" s="132"/>
      <c r="Y138" s="132"/>
      <c r="Z138" s="132"/>
    </row>
    <row r="139" spans="1:26">
      <c r="A139" s="36"/>
      <c r="B139" s="133"/>
      <c r="C139" s="133"/>
      <c r="D139" s="106" t="str">
        <f t="shared" si="5"/>
        <v xml:space="preserve"> </v>
      </c>
      <c r="E139" s="29"/>
      <c r="F139" s="29"/>
      <c r="G139" s="29"/>
      <c r="H139" s="193"/>
      <c r="I139" s="131"/>
      <c r="J139" s="100" t="str">
        <f>IF(FacingSheet!$B$11=10,IF(ISERROR(((((H139*1440)-20)*60)-(((H139*1440)-20)^1.6)*2.5)/86400),"",((((H139*1440)-20)*60)-(((H139*1440)-20)^1.6)*2.5)/86400),"")</f>
        <v/>
      </c>
      <c r="K139" s="100" t="str">
        <f>IF(FacingSheet!$B$11=15,IF(ISERROR(((((H139*1440)-33)*60)-(((H139*1440)-33)^1.6)*1.667)/86400),"",((((H139*1440)-33)*60)-(((H139*1440)-33)^1.6)*1.667)/86400),"")</f>
        <v/>
      </c>
      <c r="L139" s="100" t="str">
        <f>IF(FacingSheet!$B$11=25,IF(ISERROR(((((H139*1440)-50)*60)-(((H139*1440)-50)^1.6))/86400),"",((((H139*1440)-50)*60)-(((H139*1440)-50)^1.6))/86400),"")</f>
        <v/>
      </c>
      <c r="M139" s="100" t="str">
        <f>IF(FacingSheet!$B$11=30,IF(ISERROR(((((H139*1440)-60)*60)-((((H139*1440)-60)^1.6))/1.2)/86400),"",((((H139*1440)-60)*60)-((((H139*1440)-60)^1.6))/1.2)/86400),"")</f>
        <v/>
      </c>
      <c r="N139" s="100" t="str">
        <f>IF(FacingSheet!$B$11=50,IF(ISERROR(((((H139*1440)-105)*60)-((((H139*1440)-105)^1.6))/2)/86400),"",((((H139*1440)-105)*60)-((((H139*1440)-105)^1.6))/2)/86400),"")</f>
        <v/>
      </c>
      <c r="O139" s="100" t="str">
        <f>IF(FacingSheet!$B$11=100,IF(ISERROR(((((H139*1440)-230)*60)-((((H139*1440)-230)^1.6))/4)/86400),"",((((H139*1440)-230)*60)-((((H139*1440)-230)^1.6))/4)/86400),"")</f>
        <v/>
      </c>
      <c r="P139" s="108" t="str">
        <f>IF(FacingSheet!$B$11=10,J139,IF(FacingSheet!$B$11=15,K139,IF(FacingSheet!$B$11=25,L139,IF(FacingSheet!$B$11=30,M139,IF(FacingSheet!$B$11=50,N139,IF(FacingSheet!$B$11=100,O139,""))))))</f>
        <v/>
      </c>
      <c r="Q139" s="65" t="str">
        <f>IF(OR(F139="V",F139="FV"),IF(I139="","",IF(MONTH(FacingSheet!$S$9)&gt;MONTH(I139),YEAR(FacingSheet!$S$9)-YEAR(I139),IF(AND(MONTH(FacingSheet!$S$9)=MONTH(I139),DAY(FacingSheet!$S$9)&gt;=DAY(I139)),YEAR(FacingSheet!$S$9)-YEAR(I139),(YEAR(FacingSheet!$S$9)-YEAR(I139))-1))),"")</f>
        <v/>
      </c>
      <c r="R139" s="108" t="str">
        <f>IF(Q139="","",IF(FacingSheet!$B$11=10,VLOOKUP(Q139,Age,2,FALSE),IF(FacingSheet!$B$11=15,VLOOKUP(Q139,Age,3,FALSE),IF(FacingSheet!$B$11=25,VLOOKUP(Q139,Age,4,FALSE),IF(FacingSheet!$B$11=30,VLOOKUP(Q139,Age,5,FALSE),IF(FacingSheet!$B$11=50,VLOOKUP(Q139,Age,6,FALSE),IF(FacingSheet!$B$11=100,VLOOKUP(Q139,Age,7,FALSE),"")))))))</f>
        <v/>
      </c>
      <c r="S139" s="108" t="str">
        <f>IF(Q139="","",IF(FacingSheet!$B$11=10,VLOOKUP(Q139,AgeF,2,FALSE),IF(FacingSheet!$B$11=15,VLOOKUP(Q139,AgeF,3,FALSE),IF(FacingSheet!$B$11=25,VLOOKUP(Q139,AgeF,4,FALSE),IF(FacingSheet!$B$11=30,VLOOKUP(Q139,AgeF,5,FALSE),IF(FacingSheet!$B$11=50,VLOOKUP(Q139,AgeF,6,FALSE),IF(FacingSheet!$B$11=100,VLOOKUP(Q139,AgeF,7,FALSE),"")))))))</f>
        <v/>
      </c>
      <c r="T139" s="108" t="str">
        <f t="shared" si="4"/>
        <v/>
      </c>
      <c r="U139" s="29"/>
      <c r="V139" s="29"/>
      <c r="W139" s="29"/>
      <c r="X139" s="132"/>
      <c r="Y139" s="132"/>
      <c r="Z139" s="132"/>
    </row>
    <row r="140" spans="1:26">
      <c r="A140" s="36"/>
      <c r="B140" s="133"/>
      <c r="C140" s="133"/>
      <c r="D140" s="106" t="str">
        <f t="shared" si="5"/>
        <v xml:space="preserve"> </v>
      </c>
      <c r="E140" s="29"/>
      <c r="F140" s="29"/>
      <c r="G140" s="29"/>
      <c r="H140" s="193"/>
      <c r="I140" s="131"/>
      <c r="J140" s="100" t="str">
        <f>IF(FacingSheet!$B$11=10,IF(ISERROR(((((H140*1440)-20)*60)-(((H140*1440)-20)^1.6)*2.5)/86400),"",((((H140*1440)-20)*60)-(((H140*1440)-20)^1.6)*2.5)/86400),"")</f>
        <v/>
      </c>
      <c r="K140" s="100" t="str">
        <f>IF(FacingSheet!$B$11=15,IF(ISERROR(((((H140*1440)-33)*60)-(((H140*1440)-33)^1.6)*1.667)/86400),"",((((H140*1440)-33)*60)-(((H140*1440)-33)^1.6)*1.667)/86400),"")</f>
        <v/>
      </c>
      <c r="L140" s="100" t="str">
        <f>IF(FacingSheet!$B$11=25,IF(ISERROR(((((H140*1440)-50)*60)-(((H140*1440)-50)^1.6))/86400),"",((((H140*1440)-50)*60)-(((H140*1440)-50)^1.6))/86400),"")</f>
        <v/>
      </c>
      <c r="M140" s="100" t="str">
        <f>IF(FacingSheet!$B$11=30,IF(ISERROR(((((H140*1440)-60)*60)-((((H140*1440)-60)^1.6))/1.2)/86400),"",((((H140*1440)-60)*60)-((((H140*1440)-60)^1.6))/1.2)/86400),"")</f>
        <v/>
      </c>
      <c r="N140" s="100" t="str">
        <f>IF(FacingSheet!$B$11=50,IF(ISERROR(((((H140*1440)-105)*60)-((((H140*1440)-105)^1.6))/2)/86400),"",((((H140*1440)-105)*60)-((((H140*1440)-105)^1.6))/2)/86400),"")</f>
        <v/>
      </c>
      <c r="O140" s="100" t="str">
        <f>IF(FacingSheet!$B$11=100,IF(ISERROR(((((H140*1440)-230)*60)-((((H140*1440)-230)^1.6))/4)/86400),"",((((H140*1440)-230)*60)-((((H140*1440)-230)^1.6))/4)/86400),"")</f>
        <v/>
      </c>
      <c r="P140" s="108" t="str">
        <f>IF(FacingSheet!$B$11=10,J140,IF(FacingSheet!$B$11=15,K140,IF(FacingSheet!$B$11=25,L140,IF(FacingSheet!$B$11=30,M140,IF(FacingSheet!$B$11=50,N140,IF(FacingSheet!$B$11=100,O140,""))))))</f>
        <v/>
      </c>
      <c r="Q140" s="65" t="str">
        <f>IF(OR(F140="V",F140="FV"),IF(I140="","",IF(MONTH(FacingSheet!$S$9)&gt;MONTH(I140),YEAR(FacingSheet!$S$9)-YEAR(I140),IF(AND(MONTH(FacingSheet!$S$9)=MONTH(I140),DAY(FacingSheet!$S$9)&gt;=DAY(I140)),YEAR(FacingSheet!$S$9)-YEAR(I140),(YEAR(FacingSheet!$S$9)-YEAR(I140))-1))),"")</f>
        <v/>
      </c>
      <c r="R140" s="108" t="str">
        <f>IF(Q140="","",IF(FacingSheet!$B$11=10,VLOOKUP(Q140,Age,2,FALSE),IF(FacingSheet!$B$11=15,VLOOKUP(Q140,Age,3,FALSE),IF(FacingSheet!$B$11=25,VLOOKUP(Q140,Age,4,FALSE),IF(FacingSheet!$B$11=30,VLOOKUP(Q140,Age,5,FALSE),IF(FacingSheet!$B$11=50,VLOOKUP(Q140,Age,6,FALSE),IF(FacingSheet!$B$11=100,VLOOKUP(Q140,Age,7,FALSE),"")))))))</f>
        <v/>
      </c>
      <c r="S140" s="108" t="str">
        <f>IF(Q140="","",IF(FacingSheet!$B$11=10,VLOOKUP(Q140,AgeF,2,FALSE),IF(FacingSheet!$B$11=15,VLOOKUP(Q140,AgeF,3,FALSE),IF(FacingSheet!$B$11=25,VLOOKUP(Q140,AgeF,4,FALSE),IF(FacingSheet!$B$11=30,VLOOKUP(Q140,AgeF,5,FALSE),IF(FacingSheet!$B$11=50,VLOOKUP(Q140,AgeF,6,FALSE),IF(FacingSheet!$B$11=100,VLOOKUP(Q140,AgeF,7,FALSE),"")))))))</f>
        <v/>
      </c>
      <c r="T140" s="108" t="str">
        <f t="shared" si="4"/>
        <v/>
      </c>
      <c r="U140" s="29"/>
      <c r="V140" s="29"/>
      <c r="W140" s="29"/>
      <c r="X140" s="132"/>
      <c r="Y140" s="132"/>
      <c r="Z140" s="132"/>
    </row>
    <row r="141" spans="1:26">
      <c r="A141" s="36"/>
      <c r="B141" s="133"/>
      <c r="C141" s="133"/>
      <c r="D141" s="106" t="str">
        <f t="shared" si="5"/>
        <v xml:space="preserve"> </v>
      </c>
      <c r="E141" s="29"/>
      <c r="F141" s="29"/>
      <c r="G141" s="29"/>
      <c r="H141" s="193"/>
      <c r="I141" s="131"/>
      <c r="J141" s="100" t="str">
        <f>IF(FacingSheet!$B$11=10,IF(ISERROR(((((H141*1440)-20)*60)-(((H141*1440)-20)^1.6)*2.5)/86400),"",((((H141*1440)-20)*60)-(((H141*1440)-20)^1.6)*2.5)/86400),"")</f>
        <v/>
      </c>
      <c r="K141" s="100" t="str">
        <f>IF(FacingSheet!$B$11=15,IF(ISERROR(((((H141*1440)-33)*60)-(((H141*1440)-33)^1.6)*1.667)/86400),"",((((H141*1440)-33)*60)-(((H141*1440)-33)^1.6)*1.667)/86400),"")</f>
        <v/>
      </c>
      <c r="L141" s="100" t="str">
        <f>IF(FacingSheet!$B$11=25,IF(ISERROR(((((H141*1440)-50)*60)-(((H141*1440)-50)^1.6))/86400),"",((((H141*1440)-50)*60)-(((H141*1440)-50)^1.6))/86400),"")</f>
        <v/>
      </c>
      <c r="M141" s="100" t="str">
        <f>IF(FacingSheet!$B$11=30,IF(ISERROR(((((H141*1440)-60)*60)-((((H141*1440)-60)^1.6))/1.2)/86400),"",((((H141*1440)-60)*60)-((((H141*1440)-60)^1.6))/1.2)/86400),"")</f>
        <v/>
      </c>
      <c r="N141" s="100" t="str">
        <f>IF(FacingSheet!$B$11=50,IF(ISERROR(((((H141*1440)-105)*60)-((((H141*1440)-105)^1.6))/2)/86400),"",((((H141*1440)-105)*60)-((((H141*1440)-105)^1.6))/2)/86400),"")</f>
        <v/>
      </c>
      <c r="O141" s="100" t="str">
        <f>IF(FacingSheet!$B$11=100,IF(ISERROR(((((H141*1440)-230)*60)-((((H141*1440)-230)^1.6))/4)/86400),"",((((H141*1440)-230)*60)-((((H141*1440)-230)^1.6))/4)/86400),"")</f>
        <v/>
      </c>
      <c r="P141" s="108" t="str">
        <f>IF(FacingSheet!$B$11=10,J141,IF(FacingSheet!$B$11=15,K141,IF(FacingSheet!$B$11=25,L141,IF(FacingSheet!$B$11=30,M141,IF(FacingSheet!$B$11=50,N141,IF(FacingSheet!$B$11=100,O141,""))))))</f>
        <v/>
      </c>
      <c r="Q141" s="65" t="str">
        <f>IF(OR(F141="V",F141="FV"),IF(I141="","",IF(MONTH(FacingSheet!$S$9)&gt;MONTH(I141),YEAR(FacingSheet!$S$9)-YEAR(I141),IF(AND(MONTH(FacingSheet!$S$9)=MONTH(I141),DAY(FacingSheet!$S$9)&gt;=DAY(I141)),YEAR(FacingSheet!$S$9)-YEAR(I141),(YEAR(FacingSheet!$S$9)-YEAR(I141))-1))),"")</f>
        <v/>
      </c>
      <c r="R141" s="108" t="str">
        <f>IF(Q141="","",IF(FacingSheet!$B$11=10,VLOOKUP(Q141,Age,2,FALSE),IF(FacingSheet!$B$11=15,VLOOKUP(Q141,Age,3,FALSE),IF(FacingSheet!$B$11=25,VLOOKUP(Q141,Age,4,FALSE),IF(FacingSheet!$B$11=30,VLOOKUP(Q141,Age,5,FALSE),IF(FacingSheet!$B$11=50,VLOOKUP(Q141,Age,6,FALSE),IF(FacingSheet!$B$11=100,VLOOKUP(Q141,Age,7,FALSE),"")))))))</f>
        <v/>
      </c>
      <c r="S141" s="108" t="str">
        <f>IF(Q141="","",IF(FacingSheet!$B$11=10,VLOOKUP(Q141,AgeF,2,FALSE),IF(FacingSheet!$B$11=15,VLOOKUP(Q141,AgeF,3,FALSE),IF(FacingSheet!$B$11=25,VLOOKUP(Q141,AgeF,4,FALSE),IF(FacingSheet!$B$11=30,VLOOKUP(Q141,AgeF,5,FALSE),IF(FacingSheet!$B$11=50,VLOOKUP(Q141,AgeF,6,FALSE),IF(FacingSheet!$B$11=100,VLOOKUP(Q141,AgeF,7,FALSE),"")))))))</f>
        <v/>
      </c>
      <c r="T141" s="108" t="str">
        <f t="shared" si="4"/>
        <v/>
      </c>
      <c r="U141" s="29"/>
      <c r="V141" s="29"/>
      <c r="W141" s="29"/>
      <c r="X141" s="132"/>
      <c r="Y141" s="132"/>
      <c r="Z141" s="132"/>
    </row>
    <row r="142" spans="1:26">
      <c r="A142" s="36"/>
      <c r="B142" s="133"/>
      <c r="C142" s="133"/>
      <c r="D142" s="106" t="str">
        <f t="shared" si="5"/>
        <v xml:space="preserve"> </v>
      </c>
      <c r="E142" s="29"/>
      <c r="F142" s="29"/>
      <c r="G142" s="29"/>
      <c r="H142" s="193"/>
      <c r="I142" s="131"/>
      <c r="J142" s="100" t="str">
        <f>IF(FacingSheet!$B$11=10,IF(ISERROR(((((H142*1440)-20)*60)-(((H142*1440)-20)^1.6)*2.5)/86400),"",((((H142*1440)-20)*60)-(((H142*1440)-20)^1.6)*2.5)/86400),"")</f>
        <v/>
      </c>
      <c r="K142" s="100" t="str">
        <f>IF(FacingSheet!$B$11=15,IF(ISERROR(((((H142*1440)-33)*60)-(((H142*1440)-33)^1.6)*1.667)/86400),"",((((H142*1440)-33)*60)-(((H142*1440)-33)^1.6)*1.667)/86400),"")</f>
        <v/>
      </c>
      <c r="L142" s="100" t="str">
        <f>IF(FacingSheet!$B$11=25,IF(ISERROR(((((H142*1440)-50)*60)-(((H142*1440)-50)^1.6))/86400),"",((((H142*1440)-50)*60)-(((H142*1440)-50)^1.6))/86400),"")</f>
        <v/>
      </c>
      <c r="M142" s="100" t="str">
        <f>IF(FacingSheet!$B$11=30,IF(ISERROR(((((H142*1440)-60)*60)-((((H142*1440)-60)^1.6))/1.2)/86400),"",((((H142*1440)-60)*60)-((((H142*1440)-60)^1.6))/1.2)/86400),"")</f>
        <v/>
      </c>
      <c r="N142" s="100" t="str">
        <f>IF(FacingSheet!$B$11=50,IF(ISERROR(((((H142*1440)-105)*60)-((((H142*1440)-105)^1.6))/2)/86400),"",((((H142*1440)-105)*60)-((((H142*1440)-105)^1.6))/2)/86400),"")</f>
        <v/>
      </c>
      <c r="O142" s="100" t="str">
        <f>IF(FacingSheet!$B$11=100,IF(ISERROR(((((H142*1440)-230)*60)-((((H142*1440)-230)^1.6))/4)/86400),"",((((H142*1440)-230)*60)-((((H142*1440)-230)^1.6))/4)/86400),"")</f>
        <v/>
      </c>
      <c r="P142" s="108" t="str">
        <f>IF(FacingSheet!$B$11=10,J142,IF(FacingSheet!$B$11=15,K142,IF(FacingSheet!$B$11=25,L142,IF(FacingSheet!$B$11=30,M142,IF(FacingSheet!$B$11=50,N142,IF(FacingSheet!$B$11=100,O142,""))))))</f>
        <v/>
      </c>
      <c r="Q142" s="65" t="str">
        <f>IF(OR(F142="V",F142="FV"),IF(I142="","",IF(MONTH(FacingSheet!$S$9)&gt;MONTH(I142),YEAR(FacingSheet!$S$9)-YEAR(I142),IF(AND(MONTH(FacingSheet!$S$9)=MONTH(I142),DAY(FacingSheet!$S$9)&gt;=DAY(I142)),YEAR(FacingSheet!$S$9)-YEAR(I142),(YEAR(FacingSheet!$S$9)-YEAR(I142))-1))),"")</f>
        <v/>
      </c>
      <c r="R142" s="108" t="str">
        <f>IF(Q142="","",IF(FacingSheet!$B$11=10,VLOOKUP(Q142,Age,2,FALSE),IF(FacingSheet!$B$11=15,VLOOKUP(Q142,Age,3,FALSE),IF(FacingSheet!$B$11=25,VLOOKUP(Q142,Age,4,FALSE),IF(FacingSheet!$B$11=30,VLOOKUP(Q142,Age,5,FALSE),IF(FacingSheet!$B$11=50,VLOOKUP(Q142,Age,6,FALSE),IF(FacingSheet!$B$11=100,VLOOKUP(Q142,Age,7,FALSE),"")))))))</f>
        <v/>
      </c>
      <c r="S142" s="108" t="str">
        <f>IF(Q142="","",IF(FacingSheet!$B$11=10,VLOOKUP(Q142,AgeF,2,FALSE),IF(FacingSheet!$B$11=15,VLOOKUP(Q142,AgeF,3,FALSE),IF(FacingSheet!$B$11=25,VLOOKUP(Q142,AgeF,4,FALSE),IF(FacingSheet!$B$11=30,VLOOKUP(Q142,AgeF,5,FALSE),IF(FacingSheet!$B$11=50,VLOOKUP(Q142,AgeF,6,FALSE),IF(FacingSheet!$B$11=100,VLOOKUP(Q142,AgeF,7,FALSE),"")))))))</f>
        <v/>
      </c>
      <c r="T142" s="108" t="str">
        <f t="shared" si="4"/>
        <v/>
      </c>
      <c r="U142" s="29"/>
      <c r="V142" s="29"/>
      <c r="W142" s="29"/>
      <c r="X142" s="132"/>
      <c r="Y142" s="132"/>
      <c r="Z142" s="132"/>
    </row>
    <row r="143" spans="1:26">
      <c r="A143" s="36"/>
      <c r="B143" s="133"/>
      <c r="C143" s="133"/>
      <c r="D143" s="106" t="str">
        <f t="shared" si="5"/>
        <v xml:space="preserve"> </v>
      </c>
      <c r="E143" s="29"/>
      <c r="F143" s="29"/>
      <c r="G143" s="29"/>
      <c r="H143" s="193"/>
      <c r="I143" s="131"/>
      <c r="J143" s="100" t="str">
        <f>IF(FacingSheet!$B$11=10,IF(ISERROR(((((H143*1440)-20)*60)-(((H143*1440)-20)^1.6)*2.5)/86400),"",((((H143*1440)-20)*60)-(((H143*1440)-20)^1.6)*2.5)/86400),"")</f>
        <v/>
      </c>
      <c r="K143" s="100" t="str">
        <f>IF(FacingSheet!$B$11=15,IF(ISERROR(((((H143*1440)-33)*60)-(((H143*1440)-33)^1.6)*1.667)/86400),"",((((H143*1440)-33)*60)-(((H143*1440)-33)^1.6)*1.667)/86400),"")</f>
        <v/>
      </c>
      <c r="L143" s="100" t="str">
        <f>IF(FacingSheet!$B$11=25,IF(ISERROR(((((H143*1440)-50)*60)-(((H143*1440)-50)^1.6))/86400),"",((((H143*1440)-50)*60)-(((H143*1440)-50)^1.6))/86400),"")</f>
        <v/>
      </c>
      <c r="M143" s="100" t="str">
        <f>IF(FacingSheet!$B$11=30,IF(ISERROR(((((H143*1440)-60)*60)-((((H143*1440)-60)^1.6))/1.2)/86400),"",((((H143*1440)-60)*60)-((((H143*1440)-60)^1.6))/1.2)/86400),"")</f>
        <v/>
      </c>
      <c r="N143" s="100" t="str">
        <f>IF(FacingSheet!$B$11=50,IF(ISERROR(((((H143*1440)-105)*60)-((((H143*1440)-105)^1.6))/2)/86400),"",((((H143*1440)-105)*60)-((((H143*1440)-105)^1.6))/2)/86400),"")</f>
        <v/>
      </c>
      <c r="O143" s="100" t="str">
        <f>IF(FacingSheet!$B$11=100,IF(ISERROR(((((H143*1440)-230)*60)-((((H143*1440)-230)^1.6))/4)/86400),"",((((H143*1440)-230)*60)-((((H143*1440)-230)^1.6))/4)/86400),"")</f>
        <v/>
      </c>
      <c r="P143" s="108" t="str">
        <f>IF(FacingSheet!$B$11=10,J143,IF(FacingSheet!$B$11=15,K143,IF(FacingSheet!$B$11=25,L143,IF(FacingSheet!$B$11=30,M143,IF(FacingSheet!$B$11=50,N143,IF(FacingSheet!$B$11=100,O143,""))))))</f>
        <v/>
      </c>
      <c r="Q143" s="65" t="str">
        <f>IF(OR(F143="V",F143="FV"),IF(I143="","",IF(MONTH(FacingSheet!$S$9)&gt;MONTH(I143),YEAR(FacingSheet!$S$9)-YEAR(I143),IF(AND(MONTH(FacingSheet!$S$9)=MONTH(I143),DAY(FacingSheet!$S$9)&gt;=DAY(I143)),YEAR(FacingSheet!$S$9)-YEAR(I143),(YEAR(FacingSheet!$S$9)-YEAR(I143))-1))),"")</f>
        <v/>
      </c>
      <c r="R143" s="108" t="str">
        <f>IF(Q143="","",IF(FacingSheet!$B$11=10,VLOOKUP(Q143,Age,2,FALSE),IF(FacingSheet!$B$11=15,VLOOKUP(Q143,Age,3,FALSE),IF(FacingSheet!$B$11=25,VLOOKUP(Q143,Age,4,FALSE),IF(FacingSheet!$B$11=30,VLOOKUP(Q143,Age,5,FALSE),IF(FacingSheet!$B$11=50,VLOOKUP(Q143,Age,6,FALSE),IF(FacingSheet!$B$11=100,VLOOKUP(Q143,Age,7,FALSE),"")))))))</f>
        <v/>
      </c>
      <c r="S143" s="108" t="str">
        <f>IF(Q143="","",IF(FacingSheet!$B$11=10,VLOOKUP(Q143,AgeF,2,FALSE),IF(FacingSheet!$B$11=15,VLOOKUP(Q143,AgeF,3,FALSE),IF(FacingSheet!$B$11=25,VLOOKUP(Q143,AgeF,4,FALSE),IF(FacingSheet!$B$11=30,VLOOKUP(Q143,AgeF,5,FALSE),IF(FacingSheet!$B$11=50,VLOOKUP(Q143,AgeF,6,FALSE),IF(FacingSheet!$B$11=100,VLOOKUP(Q143,AgeF,7,FALSE),"")))))))</f>
        <v/>
      </c>
      <c r="T143" s="108" t="str">
        <f t="shared" si="4"/>
        <v/>
      </c>
      <c r="U143" s="29"/>
      <c r="V143" s="29"/>
      <c r="W143" s="29"/>
      <c r="X143" s="132"/>
      <c r="Y143" s="132"/>
      <c r="Z143" s="132"/>
    </row>
    <row r="144" spans="1:26">
      <c r="A144" s="36"/>
      <c r="B144" s="133"/>
      <c r="C144" s="133"/>
      <c r="D144" s="106" t="str">
        <f t="shared" si="5"/>
        <v xml:space="preserve"> </v>
      </c>
      <c r="E144" s="29"/>
      <c r="F144" s="29"/>
      <c r="G144" s="29"/>
      <c r="H144" s="193"/>
      <c r="I144" s="131"/>
      <c r="J144" s="100" t="str">
        <f>IF(FacingSheet!$B$11=10,IF(ISERROR(((((H144*1440)-20)*60)-(((H144*1440)-20)^1.6)*2.5)/86400),"",((((H144*1440)-20)*60)-(((H144*1440)-20)^1.6)*2.5)/86400),"")</f>
        <v/>
      </c>
      <c r="K144" s="100" t="str">
        <f>IF(FacingSheet!$B$11=15,IF(ISERROR(((((H144*1440)-33)*60)-(((H144*1440)-33)^1.6)*1.667)/86400),"",((((H144*1440)-33)*60)-(((H144*1440)-33)^1.6)*1.667)/86400),"")</f>
        <v/>
      </c>
      <c r="L144" s="100" t="str">
        <f>IF(FacingSheet!$B$11=25,IF(ISERROR(((((H144*1440)-50)*60)-(((H144*1440)-50)^1.6))/86400),"",((((H144*1440)-50)*60)-(((H144*1440)-50)^1.6))/86400),"")</f>
        <v/>
      </c>
      <c r="M144" s="100" t="str">
        <f>IF(FacingSheet!$B$11=30,IF(ISERROR(((((H144*1440)-60)*60)-((((H144*1440)-60)^1.6))/1.2)/86400),"",((((H144*1440)-60)*60)-((((H144*1440)-60)^1.6))/1.2)/86400),"")</f>
        <v/>
      </c>
      <c r="N144" s="100" t="str">
        <f>IF(FacingSheet!$B$11=50,IF(ISERROR(((((H144*1440)-105)*60)-((((H144*1440)-105)^1.6))/2)/86400),"",((((H144*1440)-105)*60)-((((H144*1440)-105)^1.6))/2)/86400),"")</f>
        <v/>
      </c>
      <c r="O144" s="100" t="str">
        <f>IF(FacingSheet!$B$11=100,IF(ISERROR(((((H144*1440)-230)*60)-((((H144*1440)-230)^1.6))/4)/86400),"",((((H144*1440)-230)*60)-((((H144*1440)-230)^1.6))/4)/86400),"")</f>
        <v/>
      </c>
      <c r="P144" s="108" t="str">
        <f>IF(FacingSheet!$B$11=10,J144,IF(FacingSheet!$B$11=15,K144,IF(FacingSheet!$B$11=25,L144,IF(FacingSheet!$B$11=30,M144,IF(FacingSheet!$B$11=50,N144,IF(FacingSheet!$B$11=100,O144,""))))))</f>
        <v/>
      </c>
      <c r="Q144" s="65" t="str">
        <f>IF(OR(F144="V",F144="FV"),IF(I144="","",IF(MONTH(FacingSheet!$S$9)&gt;MONTH(I144),YEAR(FacingSheet!$S$9)-YEAR(I144),IF(AND(MONTH(FacingSheet!$S$9)=MONTH(I144),DAY(FacingSheet!$S$9)&gt;=DAY(I144)),YEAR(FacingSheet!$S$9)-YEAR(I144),(YEAR(FacingSheet!$S$9)-YEAR(I144))-1))),"")</f>
        <v/>
      </c>
      <c r="R144" s="108" t="str">
        <f>IF(Q144="","",IF(FacingSheet!$B$11=10,VLOOKUP(Q144,Age,2,FALSE),IF(FacingSheet!$B$11=15,VLOOKUP(Q144,Age,3,FALSE),IF(FacingSheet!$B$11=25,VLOOKUP(Q144,Age,4,FALSE),IF(FacingSheet!$B$11=30,VLOOKUP(Q144,Age,5,FALSE),IF(FacingSheet!$B$11=50,VLOOKUP(Q144,Age,6,FALSE),IF(FacingSheet!$B$11=100,VLOOKUP(Q144,Age,7,FALSE),"")))))))</f>
        <v/>
      </c>
      <c r="S144" s="108" t="str">
        <f>IF(Q144="","",IF(FacingSheet!$B$11=10,VLOOKUP(Q144,AgeF,2,FALSE),IF(FacingSheet!$B$11=15,VLOOKUP(Q144,AgeF,3,FALSE),IF(FacingSheet!$B$11=25,VLOOKUP(Q144,AgeF,4,FALSE),IF(FacingSheet!$B$11=30,VLOOKUP(Q144,AgeF,5,FALSE),IF(FacingSheet!$B$11=50,VLOOKUP(Q144,AgeF,6,FALSE),IF(FacingSheet!$B$11=100,VLOOKUP(Q144,AgeF,7,FALSE),"")))))))</f>
        <v/>
      </c>
      <c r="T144" s="108" t="str">
        <f t="shared" si="4"/>
        <v/>
      </c>
      <c r="U144" s="29"/>
      <c r="V144" s="29"/>
      <c r="W144" s="29"/>
      <c r="X144" s="132"/>
      <c r="Y144" s="132"/>
      <c r="Z144" s="132"/>
    </row>
    <row r="145" spans="1:26">
      <c r="A145" s="36"/>
      <c r="B145" s="133"/>
      <c r="C145" s="133"/>
      <c r="D145" s="106" t="str">
        <f t="shared" si="5"/>
        <v xml:space="preserve"> </v>
      </c>
      <c r="E145" s="29"/>
      <c r="F145" s="29"/>
      <c r="G145" s="29"/>
      <c r="H145" s="193"/>
      <c r="I145" s="131"/>
      <c r="J145" s="100" t="str">
        <f>IF(FacingSheet!$B$11=10,IF(ISERROR(((((H145*1440)-20)*60)-(((H145*1440)-20)^1.6)*2.5)/86400),"",((((H145*1440)-20)*60)-(((H145*1440)-20)^1.6)*2.5)/86400),"")</f>
        <v/>
      </c>
      <c r="K145" s="100" t="str">
        <f>IF(FacingSheet!$B$11=15,IF(ISERROR(((((H145*1440)-33)*60)-(((H145*1440)-33)^1.6)*1.667)/86400),"",((((H145*1440)-33)*60)-(((H145*1440)-33)^1.6)*1.667)/86400),"")</f>
        <v/>
      </c>
      <c r="L145" s="100" t="str">
        <f>IF(FacingSheet!$B$11=25,IF(ISERROR(((((H145*1440)-50)*60)-(((H145*1440)-50)^1.6))/86400),"",((((H145*1440)-50)*60)-(((H145*1440)-50)^1.6))/86400),"")</f>
        <v/>
      </c>
      <c r="M145" s="100" t="str">
        <f>IF(FacingSheet!$B$11=30,IF(ISERROR(((((H145*1440)-60)*60)-((((H145*1440)-60)^1.6))/1.2)/86400),"",((((H145*1440)-60)*60)-((((H145*1440)-60)^1.6))/1.2)/86400),"")</f>
        <v/>
      </c>
      <c r="N145" s="100" t="str">
        <f>IF(FacingSheet!$B$11=50,IF(ISERROR(((((H145*1440)-105)*60)-((((H145*1440)-105)^1.6))/2)/86400),"",((((H145*1440)-105)*60)-((((H145*1440)-105)^1.6))/2)/86400),"")</f>
        <v/>
      </c>
      <c r="O145" s="100" t="str">
        <f>IF(FacingSheet!$B$11=100,IF(ISERROR(((((H145*1440)-230)*60)-((((H145*1440)-230)^1.6))/4)/86400),"",((((H145*1440)-230)*60)-((((H145*1440)-230)^1.6))/4)/86400),"")</f>
        <v/>
      </c>
      <c r="P145" s="108" t="str">
        <f>IF(FacingSheet!$B$11=10,J145,IF(FacingSheet!$B$11=15,K145,IF(FacingSheet!$B$11=25,L145,IF(FacingSheet!$B$11=30,M145,IF(FacingSheet!$B$11=50,N145,IF(FacingSheet!$B$11=100,O145,""))))))</f>
        <v/>
      </c>
      <c r="Q145" s="65" t="str">
        <f>IF(OR(F145="V",F145="FV"),IF(I145="","",IF(MONTH(FacingSheet!$S$9)&gt;MONTH(I145),YEAR(FacingSheet!$S$9)-YEAR(I145),IF(AND(MONTH(FacingSheet!$S$9)=MONTH(I145),DAY(FacingSheet!$S$9)&gt;=DAY(I145)),YEAR(FacingSheet!$S$9)-YEAR(I145),(YEAR(FacingSheet!$S$9)-YEAR(I145))-1))),"")</f>
        <v/>
      </c>
      <c r="R145" s="108" t="str">
        <f>IF(Q145="","",IF(FacingSheet!$B$11=10,VLOOKUP(Q145,Age,2,FALSE),IF(FacingSheet!$B$11=15,VLOOKUP(Q145,Age,3,FALSE),IF(FacingSheet!$B$11=25,VLOOKUP(Q145,Age,4,FALSE),IF(FacingSheet!$B$11=30,VLOOKUP(Q145,Age,5,FALSE),IF(FacingSheet!$B$11=50,VLOOKUP(Q145,Age,6,FALSE),IF(FacingSheet!$B$11=100,VLOOKUP(Q145,Age,7,FALSE),"")))))))</f>
        <v/>
      </c>
      <c r="S145" s="108" t="str">
        <f>IF(Q145="","",IF(FacingSheet!$B$11=10,VLOOKUP(Q145,AgeF,2,FALSE),IF(FacingSheet!$B$11=15,VLOOKUP(Q145,AgeF,3,FALSE),IF(FacingSheet!$B$11=25,VLOOKUP(Q145,AgeF,4,FALSE),IF(FacingSheet!$B$11=30,VLOOKUP(Q145,AgeF,5,FALSE),IF(FacingSheet!$B$11=50,VLOOKUP(Q145,AgeF,6,FALSE),IF(FacingSheet!$B$11=100,VLOOKUP(Q145,AgeF,7,FALSE),"")))))))</f>
        <v/>
      </c>
      <c r="T145" s="108" t="str">
        <f t="shared" si="4"/>
        <v/>
      </c>
      <c r="U145" s="29"/>
      <c r="V145" s="29"/>
      <c r="W145" s="29"/>
      <c r="X145" s="132"/>
      <c r="Y145" s="132"/>
      <c r="Z145" s="132"/>
    </row>
    <row r="146" spans="1:26">
      <c r="A146" s="36"/>
      <c r="B146" s="133"/>
      <c r="C146" s="133"/>
      <c r="D146" s="106" t="str">
        <f t="shared" si="5"/>
        <v xml:space="preserve"> </v>
      </c>
      <c r="E146" s="29"/>
      <c r="F146" s="29"/>
      <c r="G146" s="29"/>
      <c r="H146" s="193"/>
      <c r="I146" s="131"/>
      <c r="J146" s="100" t="str">
        <f>IF(FacingSheet!$B$11=10,IF(ISERROR(((((H146*1440)-20)*60)-(((H146*1440)-20)^1.6)*2.5)/86400),"",((((H146*1440)-20)*60)-(((H146*1440)-20)^1.6)*2.5)/86400),"")</f>
        <v/>
      </c>
      <c r="K146" s="100" t="str">
        <f>IF(FacingSheet!$B$11=15,IF(ISERROR(((((H146*1440)-33)*60)-(((H146*1440)-33)^1.6)*1.667)/86400),"",((((H146*1440)-33)*60)-(((H146*1440)-33)^1.6)*1.667)/86400),"")</f>
        <v/>
      </c>
      <c r="L146" s="100" t="str">
        <f>IF(FacingSheet!$B$11=25,IF(ISERROR(((((H146*1440)-50)*60)-(((H146*1440)-50)^1.6))/86400),"",((((H146*1440)-50)*60)-(((H146*1440)-50)^1.6))/86400),"")</f>
        <v/>
      </c>
      <c r="M146" s="100" t="str">
        <f>IF(FacingSheet!$B$11=30,IF(ISERROR(((((H146*1440)-60)*60)-((((H146*1440)-60)^1.6))/1.2)/86400),"",((((H146*1440)-60)*60)-((((H146*1440)-60)^1.6))/1.2)/86400),"")</f>
        <v/>
      </c>
      <c r="N146" s="100" t="str">
        <f>IF(FacingSheet!$B$11=50,IF(ISERROR(((((H146*1440)-105)*60)-((((H146*1440)-105)^1.6))/2)/86400),"",((((H146*1440)-105)*60)-((((H146*1440)-105)^1.6))/2)/86400),"")</f>
        <v/>
      </c>
      <c r="O146" s="100" t="str">
        <f>IF(FacingSheet!$B$11=100,IF(ISERROR(((((H146*1440)-230)*60)-((((H146*1440)-230)^1.6))/4)/86400),"",((((H146*1440)-230)*60)-((((H146*1440)-230)^1.6))/4)/86400),"")</f>
        <v/>
      </c>
      <c r="P146" s="108" t="str">
        <f>IF(FacingSheet!$B$11=10,J146,IF(FacingSheet!$B$11=15,K146,IF(FacingSheet!$B$11=25,L146,IF(FacingSheet!$B$11=30,M146,IF(FacingSheet!$B$11=50,N146,IF(FacingSheet!$B$11=100,O146,""))))))</f>
        <v/>
      </c>
      <c r="Q146" s="65" t="str">
        <f>IF(OR(F146="V",F146="FV"),IF(I146="","",IF(MONTH(FacingSheet!$S$9)&gt;MONTH(I146),YEAR(FacingSheet!$S$9)-YEAR(I146),IF(AND(MONTH(FacingSheet!$S$9)=MONTH(I146),DAY(FacingSheet!$S$9)&gt;=DAY(I146)),YEAR(FacingSheet!$S$9)-YEAR(I146),(YEAR(FacingSheet!$S$9)-YEAR(I146))-1))),"")</f>
        <v/>
      </c>
      <c r="R146" s="108" t="str">
        <f>IF(Q146="","",IF(FacingSheet!$B$11=10,VLOOKUP(Q146,Age,2,FALSE),IF(FacingSheet!$B$11=15,VLOOKUP(Q146,Age,3,FALSE),IF(FacingSheet!$B$11=25,VLOOKUP(Q146,Age,4,FALSE),IF(FacingSheet!$B$11=30,VLOOKUP(Q146,Age,5,FALSE),IF(FacingSheet!$B$11=50,VLOOKUP(Q146,Age,6,FALSE),IF(FacingSheet!$B$11=100,VLOOKUP(Q146,Age,7,FALSE),"")))))))</f>
        <v/>
      </c>
      <c r="S146" s="108" t="str">
        <f>IF(Q146="","",IF(FacingSheet!$B$11=10,VLOOKUP(Q146,AgeF,2,FALSE),IF(FacingSheet!$B$11=15,VLOOKUP(Q146,AgeF,3,FALSE),IF(FacingSheet!$B$11=25,VLOOKUP(Q146,AgeF,4,FALSE),IF(FacingSheet!$B$11=30,VLOOKUP(Q146,AgeF,5,FALSE),IF(FacingSheet!$B$11=50,VLOOKUP(Q146,AgeF,6,FALSE),IF(FacingSheet!$B$11=100,VLOOKUP(Q146,AgeF,7,FALSE),"")))))))</f>
        <v/>
      </c>
      <c r="T146" s="108" t="str">
        <f t="shared" si="4"/>
        <v/>
      </c>
      <c r="U146" s="29"/>
      <c r="V146" s="29"/>
      <c r="W146" s="29"/>
      <c r="X146" s="132"/>
      <c r="Y146" s="132"/>
      <c r="Z146" s="132"/>
    </row>
    <row r="147" spans="1:26">
      <c r="A147" s="36"/>
      <c r="B147" s="133"/>
      <c r="C147" s="133"/>
      <c r="D147" s="106" t="str">
        <f t="shared" si="5"/>
        <v xml:space="preserve"> </v>
      </c>
      <c r="E147" s="29"/>
      <c r="F147" s="29"/>
      <c r="G147" s="29"/>
      <c r="H147" s="193"/>
      <c r="I147" s="131"/>
      <c r="J147" s="100" t="str">
        <f>IF(FacingSheet!$B$11=10,IF(ISERROR(((((H147*1440)-20)*60)-(((H147*1440)-20)^1.6)*2.5)/86400),"",((((H147*1440)-20)*60)-(((H147*1440)-20)^1.6)*2.5)/86400),"")</f>
        <v/>
      </c>
      <c r="K147" s="100" t="str">
        <f>IF(FacingSheet!$B$11=15,IF(ISERROR(((((H147*1440)-33)*60)-(((H147*1440)-33)^1.6)*1.667)/86400),"",((((H147*1440)-33)*60)-(((H147*1440)-33)^1.6)*1.667)/86400),"")</f>
        <v/>
      </c>
      <c r="L147" s="100" t="str">
        <f>IF(FacingSheet!$B$11=25,IF(ISERROR(((((H147*1440)-50)*60)-(((H147*1440)-50)^1.6))/86400),"",((((H147*1440)-50)*60)-(((H147*1440)-50)^1.6))/86400),"")</f>
        <v/>
      </c>
      <c r="M147" s="100" t="str">
        <f>IF(FacingSheet!$B$11=30,IF(ISERROR(((((H147*1440)-60)*60)-((((H147*1440)-60)^1.6))/1.2)/86400),"",((((H147*1440)-60)*60)-((((H147*1440)-60)^1.6))/1.2)/86400),"")</f>
        <v/>
      </c>
      <c r="N147" s="100" t="str">
        <f>IF(FacingSheet!$B$11=50,IF(ISERROR(((((H147*1440)-105)*60)-((((H147*1440)-105)^1.6))/2)/86400),"",((((H147*1440)-105)*60)-((((H147*1440)-105)^1.6))/2)/86400),"")</f>
        <v/>
      </c>
      <c r="O147" s="100" t="str">
        <f>IF(FacingSheet!$B$11=100,IF(ISERROR(((((H147*1440)-230)*60)-((((H147*1440)-230)^1.6))/4)/86400),"",((((H147*1440)-230)*60)-((((H147*1440)-230)^1.6))/4)/86400),"")</f>
        <v/>
      </c>
      <c r="P147" s="108" t="str">
        <f>IF(FacingSheet!$B$11=10,J147,IF(FacingSheet!$B$11=15,K147,IF(FacingSheet!$B$11=25,L147,IF(FacingSheet!$B$11=30,M147,IF(FacingSheet!$B$11=50,N147,IF(FacingSheet!$B$11=100,O147,""))))))</f>
        <v/>
      </c>
      <c r="Q147" s="65" t="str">
        <f>IF(OR(F147="V",F147="FV"),IF(I147="","",IF(MONTH(FacingSheet!$S$9)&gt;MONTH(I147),YEAR(FacingSheet!$S$9)-YEAR(I147),IF(AND(MONTH(FacingSheet!$S$9)=MONTH(I147),DAY(FacingSheet!$S$9)&gt;=DAY(I147)),YEAR(FacingSheet!$S$9)-YEAR(I147),(YEAR(FacingSheet!$S$9)-YEAR(I147))-1))),"")</f>
        <v/>
      </c>
      <c r="R147" s="108" t="str">
        <f>IF(Q147="","",IF(FacingSheet!$B$11=10,VLOOKUP(Q147,Age,2,FALSE),IF(FacingSheet!$B$11=15,VLOOKUP(Q147,Age,3,FALSE),IF(FacingSheet!$B$11=25,VLOOKUP(Q147,Age,4,FALSE),IF(FacingSheet!$B$11=30,VLOOKUP(Q147,Age,5,FALSE),IF(FacingSheet!$B$11=50,VLOOKUP(Q147,Age,6,FALSE),IF(FacingSheet!$B$11=100,VLOOKUP(Q147,Age,7,FALSE),"")))))))</f>
        <v/>
      </c>
      <c r="S147" s="108" t="str">
        <f>IF(Q147="","",IF(FacingSheet!$B$11=10,VLOOKUP(Q147,AgeF,2,FALSE),IF(FacingSheet!$B$11=15,VLOOKUP(Q147,AgeF,3,FALSE),IF(FacingSheet!$B$11=25,VLOOKUP(Q147,AgeF,4,FALSE),IF(FacingSheet!$B$11=30,VLOOKUP(Q147,AgeF,5,FALSE),IF(FacingSheet!$B$11=50,VLOOKUP(Q147,AgeF,6,FALSE),IF(FacingSheet!$B$11=100,VLOOKUP(Q147,AgeF,7,FALSE),"")))))))</f>
        <v/>
      </c>
      <c r="T147" s="108" t="str">
        <f t="shared" si="4"/>
        <v/>
      </c>
      <c r="U147" s="29"/>
      <c r="V147" s="29"/>
      <c r="W147" s="29"/>
      <c r="X147" s="132"/>
      <c r="Y147" s="132"/>
      <c r="Z147" s="132"/>
    </row>
    <row r="148" spans="1:26">
      <c r="A148" s="36"/>
      <c r="B148" s="133"/>
      <c r="C148" s="133"/>
      <c r="D148" s="106" t="str">
        <f t="shared" si="5"/>
        <v xml:space="preserve"> </v>
      </c>
      <c r="E148" s="29"/>
      <c r="F148" s="29"/>
      <c r="G148" s="29"/>
      <c r="H148" s="193"/>
      <c r="I148" s="131"/>
      <c r="J148" s="100" t="str">
        <f>IF(FacingSheet!$B$11=10,IF(ISERROR(((((H148*1440)-20)*60)-(((H148*1440)-20)^1.6)*2.5)/86400),"",((((H148*1440)-20)*60)-(((H148*1440)-20)^1.6)*2.5)/86400),"")</f>
        <v/>
      </c>
      <c r="K148" s="100" t="str">
        <f>IF(FacingSheet!$B$11=15,IF(ISERROR(((((H148*1440)-33)*60)-(((H148*1440)-33)^1.6)*1.667)/86400),"",((((H148*1440)-33)*60)-(((H148*1440)-33)^1.6)*1.667)/86400),"")</f>
        <v/>
      </c>
      <c r="L148" s="100" t="str">
        <f>IF(FacingSheet!$B$11=25,IF(ISERROR(((((H148*1440)-50)*60)-(((H148*1440)-50)^1.6))/86400),"",((((H148*1440)-50)*60)-(((H148*1440)-50)^1.6))/86400),"")</f>
        <v/>
      </c>
      <c r="M148" s="100" t="str">
        <f>IF(FacingSheet!$B$11=30,IF(ISERROR(((((H148*1440)-60)*60)-((((H148*1440)-60)^1.6))/1.2)/86400),"",((((H148*1440)-60)*60)-((((H148*1440)-60)^1.6))/1.2)/86400),"")</f>
        <v/>
      </c>
      <c r="N148" s="100" t="str">
        <f>IF(FacingSheet!$B$11=50,IF(ISERROR(((((H148*1440)-105)*60)-((((H148*1440)-105)^1.6))/2)/86400),"",((((H148*1440)-105)*60)-((((H148*1440)-105)^1.6))/2)/86400),"")</f>
        <v/>
      </c>
      <c r="O148" s="100" t="str">
        <f>IF(FacingSheet!$B$11=100,IF(ISERROR(((((H148*1440)-230)*60)-((((H148*1440)-230)^1.6))/4)/86400),"",((((H148*1440)-230)*60)-((((H148*1440)-230)^1.6))/4)/86400),"")</f>
        <v/>
      </c>
      <c r="P148" s="108" t="str">
        <f>IF(FacingSheet!$B$11=10,J148,IF(FacingSheet!$B$11=15,K148,IF(FacingSheet!$B$11=25,L148,IF(FacingSheet!$B$11=30,M148,IF(FacingSheet!$B$11=50,N148,IF(FacingSheet!$B$11=100,O148,""))))))</f>
        <v/>
      </c>
      <c r="Q148" s="65" t="str">
        <f>IF(OR(F148="V",F148="FV"),IF(I148="","",IF(MONTH(FacingSheet!$S$9)&gt;MONTH(I148),YEAR(FacingSheet!$S$9)-YEAR(I148),IF(AND(MONTH(FacingSheet!$S$9)=MONTH(I148),DAY(FacingSheet!$S$9)&gt;=DAY(I148)),YEAR(FacingSheet!$S$9)-YEAR(I148),(YEAR(FacingSheet!$S$9)-YEAR(I148))-1))),"")</f>
        <v/>
      </c>
      <c r="R148" s="108" t="str">
        <f>IF(Q148="","",IF(FacingSheet!$B$11=10,VLOOKUP(Q148,Age,2,FALSE),IF(FacingSheet!$B$11=15,VLOOKUP(Q148,Age,3,FALSE),IF(FacingSheet!$B$11=25,VLOOKUP(Q148,Age,4,FALSE),IF(FacingSheet!$B$11=30,VLOOKUP(Q148,Age,5,FALSE),IF(FacingSheet!$B$11=50,VLOOKUP(Q148,Age,6,FALSE),IF(FacingSheet!$B$11=100,VLOOKUP(Q148,Age,7,FALSE),"")))))))</f>
        <v/>
      </c>
      <c r="S148" s="108" t="str">
        <f>IF(Q148="","",IF(FacingSheet!$B$11=10,VLOOKUP(Q148,AgeF,2,FALSE),IF(FacingSheet!$B$11=15,VLOOKUP(Q148,AgeF,3,FALSE),IF(FacingSheet!$B$11=25,VLOOKUP(Q148,AgeF,4,FALSE),IF(FacingSheet!$B$11=30,VLOOKUP(Q148,AgeF,5,FALSE),IF(FacingSheet!$B$11=50,VLOOKUP(Q148,AgeF,6,FALSE),IF(FacingSheet!$B$11=100,VLOOKUP(Q148,AgeF,7,FALSE),"")))))))</f>
        <v/>
      </c>
      <c r="T148" s="108" t="str">
        <f t="shared" si="4"/>
        <v/>
      </c>
      <c r="U148" s="29"/>
      <c r="V148" s="29"/>
      <c r="W148" s="29"/>
      <c r="X148" s="132"/>
      <c r="Y148" s="132"/>
      <c r="Z148" s="132"/>
    </row>
    <row r="149" spans="1:26">
      <c r="A149" s="36"/>
      <c r="B149" s="133"/>
      <c r="C149" s="133"/>
      <c r="D149" s="106" t="str">
        <f t="shared" si="5"/>
        <v xml:space="preserve"> </v>
      </c>
      <c r="E149" s="29"/>
      <c r="F149" s="29"/>
      <c r="G149" s="29"/>
      <c r="H149" s="193"/>
      <c r="I149" s="131"/>
      <c r="J149" s="100" t="str">
        <f>IF(FacingSheet!$B$11=10,IF(ISERROR(((((H149*1440)-20)*60)-(((H149*1440)-20)^1.6)*2.5)/86400),"",((((H149*1440)-20)*60)-(((H149*1440)-20)^1.6)*2.5)/86400),"")</f>
        <v/>
      </c>
      <c r="K149" s="100" t="str">
        <f>IF(FacingSheet!$B$11=15,IF(ISERROR(((((H149*1440)-33)*60)-(((H149*1440)-33)^1.6)*1.667)/86400),"",((((H149*1440)-33)*60)-(((H149*1440)-33)^1.6)*1.667)/86400),"")</f>
        <v/>
      </c>
      <c r="L149" s="100" t="str">
        <f>IF(FacingSheet!$B$11=25,IF(ISERROR(((((H149*1440)-50)*60)-(((H149*1440)-50)^1.6))/86400),"",((((H149*1440)-50)*60)-(((H149*1440)-50)^1.6))/86400),"")</f>
        <v/>
      </c>
      <c r="M149" s="100" t="str">
        <f>IF(FacingSheet!$B$11=30,IF(ISERROR(((((H149*1440)-60)*60)-((((H149*1440)-60)^1.6))/1.2)/86400),"",((((H149*1440)-60)*60)-((((H149*1440)-60)^1.6))/1.2)/86400),"")</f>
        <v/>
      </c>
      <c r="N149" s="100" t="str">
        <f>IF(FacingSheet!$B$11=50,IF(ISERROR(((((H149*1440)-105)*60)-((((H149*1440)-105)^1.6))/2)/86400),"",((((H149*1440)-105)*60)-((((H149*1440)-105)^1.6))/2)/86400),"")</f>
        <v/>
      </c>
      <c r="O149" s="100" t="str">
        <f>IF(FacingSheet!$B$11=100,IF(ISERROR(((((H149*1440)-230)*60)-((((H149*1440)-230)^1.6))/4)/86400),"",((((H149*1440)-230)*60)-((((H149*1440)-230)^1.6))/4)/86400),"")</f>
        <v/>
      </c>
      <c r="P149" s="108" t="str">
        <f>IF(FacingSheet!$B$11=10,J149,IF(FacingSheet!$B$11=15,K149,IF(FacingSheet!$B$11=25,L149,IF(FacingSheet!$B$11=30,M149,IF(FacingSheet!$B$11=50,N149,IF(FacingSheet!$B$11=100,O149,""))))))</f>
        <v/>
      </c>
      <c r="Q149" s="65" t="str">
        <f>IF(OR(F149="V",F149="FV"),IF(I149="","",IF(MONTH(FacingSheet!$S$9)&gt;MONTH(I149),YEAR(FacingSheet!$S$9)-YEAR(I149),IF(AND(MONTH(FacingSheet!$S$9)=MONTH(I149),DAY(FacingSheet!$S$9)&gt;=DAY(I149)),YEAR(FacingSheet!$S$9)-YEAR(I149),(YEAR(FacingSheet!$S$9)-YEAR(I149))-1))),"")</f>
        <v/>
      </c>
      <c r="R149" s="108" t="str">
        <f>IF(Q149="","",IF(FacingSheet!$B$11=10,VLOOKUP(Q149,Age,2,FALSE),IF(FacingSheet!$B$11=15,VLOOKUP(Q149,Age,3,FALSE),IF(FacingSheet!$B$11=25,VLOOKUP(Q149,Age,4,FALSE),IF(FacingSheet!$B$11=30,VLOOKUP(Q149,Age,5,FALSE),IF(FacingSheet!$B$11=50,VLOOKUP(Q149,Age,6,FALSE),IF(FacingSheet!$B$11=100,VLOOKUP(Q149,Age,7,FALSE),"")))))))</f>
        <v/>
      </c>
      <c r="S149" s="108" t="str">
        <f>IF(Q149="","",IF(FacingSheet!$B$11=10,VLOOKUP(Q149,AgeF,2,FALSE),IF(FacingSheet!$B$11=15,VLOOKUP(Q149,AgeF,3,FALSE),IF(FacingSheet!$B$11=25,VLOOKUP(Q149,AgeF,4,FALSE),IF(FacingSheet!$B$11=30,VLOOKUP(Q149,AgeF,5,FALSE),IF(FacingSheet!$B$11=50,VLOOKUP(Q149,AgeF,6,FALSE),IF(FacingSheet!$B$11=100,VLOOKUP(Q149,AgeF,7,FALSE),"")))))))</f>
        <v/>
      </c>
      <c r="T149" s="108" t="str">
        <f t="shared" si="4"/>
        <v/>
      </c>
      <c r="U149" s="29"/>
      <c r="V149" s="29"/>
      <c r="W149" s="29"/>
      <c r="X149" s="132"/>
      <c r="Y149" s="132"/>
      <c r="Z149" s="132"/>
    </row>
    <row r="150" spans="1:26">
      <c r="A150" s="36"/>
      <c r="B150" s="133"/>
      <c r="C150" s="133"/>
      <c r="D150" s="106" t="str">
        <f t="shared" si="5"/>
        <v xml:space="preserve"> </v>
      </c>
      <c r="E150" s="29"/>
      <c r="F150" s="29"/>
      <c r="G150" s="29"/>
      <c r="H150" s="193"/>
      <c r="I150" s="131"/>
      <c r="J150" s="100" t="str">
        <f>IF(FacingSheet!$B$11=10,IF(ISERROR(((((H150*1440)-20)*60)-(((H150*1440)-20)^1.6)*2.5)/86400),"",((((H150*1440)-20)*60)-(((H150*1440)-20)^1.6)*2.5)/86400),"")</f>
        <v/>
      </c>
      <c r="K150" s="100" t="str">
        <f>IF(FacingSheet!$B$11=15,IF(ISERROR(((((H150*1440)-33)*60)-(((H150*1440)-33)^1.6)*1.667)/86400),"",((((H150*1440)-33)*60)-(((H150*1440)-33)^1.6)*1.667)/86400),"")</f>
        <v/>
      </c>
      <c r="L150" s="100" t="str">
        <f>IF(FacingSheet!$B$11=25,IF(ISERROR(((((H150*1440)-50)*60)-(((H150*1440)-50)^1.6))/86400),"",((((H150*1440)-50)*60)-(((H150*1440)-50)^1.6))/86400),"")</f>
        <v/>
      </c>
      <c r="M150" s="100" t="str">
        <f>IF(FacingSheet!$B$11=30,IF(ISERROR(((((H150*1440)-60)*60)-((((H150*1440)-60)^1.6))/1.2)/86400),"",((((H150*1440)-60)*60)-((((H150*1440)-60)^1.6))/1.2)/86400),"")</f>
        <v/>
      </c>
      <c r="N150" s="100" t="str">
        <f>IF(FacingSheet!$B$11=50,IF(ISERROR(((((H150*1440)-105)*60)-((((H150*1440)-105)^1.6))/2)/86400),"",((((H150*1440)-105)*60)-((((H150*1440)-105)^1.6))/2)/86400),"")</f>
        <v/>
      </c>
      <c r="O150" s="100" t="str">
        <f>IF(FacingSheet!$B$11=100,IF(ISERROR(((((H150*1440)-230)*60)-((((H150*1440)-230)^1.6))/4)/86400),"",((((H150*1440)-230)*60)-((((H150*1440)-230)^1.6))/4)/86400),"")</f>
        <v/>
      </c>
      <c r="P150" s="108" t="str">
        <f>IF(FacingSheet!$B$11=10,J150,IF(FacingSheet!$B$11=15,K150,IF(FacingSheet!$B$11=25,L150,IF(FacingSheet!$B$11=30,M150,IF(FacingSheet!$B$11=50,N150,IF(FacingSheet!$B$11=100,O150,""))))))</f>
        <v/>
      </c>
      <c r="Q150" s="65" t="str">
        <f>IF(OR(F150="V",F150="FV"),IF(I150="","",IF(MONTH(FacingSheet!$S$9)&gt;MONTH(I150),YEAR(FacingSheet!$S$9)-YEAR(I150),IF(AND(MONTH(FacingSheet!$S$9)=MONTH(I150),DAY(FacingSheet!$S$9)&gt;=DAY(I150)),YEAR(FacingSheet!$S$9)-YEAR(I150),(YEAR(FacingSheet!$S$9)-YEAR(I150))-1))),"")</f>
        <v/>
      </c>
      <c r="R150" s="108" t="str">
        <f>IF(Q150="","",IF(FacingSheet!$B$11=10,VLOOKUP(Q150,Age,2,FALSE),IF(FacingSheet!$B$11=15,VLOOKUP(Q150,Age,3,FALSE),IF(FacingSheet!$B$11=25,VLOOKUP(Q150,Age,4,FALSE),IF(FacingSheet!$B$11=30,VLOOKUP(Q150,Age,5,FALSE),IF(FacingSheet!$B$11=50,VLOOKUP(Q150,Age,6,FALSE),IF(FacingSheet!$B$11=100,VLOOKUP(Q150,Age,7,FALSE),"")))))))</f>
        <v/>
      </c>
      <c r="S150" s="108" t="str">
        <f>IF(Q150="","",IF(FacingSheet!$B$11=10,VLOOKUP(Q150,AgeF,2,FALSE),IF(FacingSheet!$B$11=15,VLOOKUP(Q150,AgeF,3,FALSE),IF(FacingSheet!$B$11=25,VLOOKUP(Q150,AgeF,4,FALSE),IF(FacingSheet!$B$11=30,VLOOKUP(Q150,AgeF,5,FALSE),IF(FacingSheet!$B$11=50,VLOOKUP(Q150,AgeF,6,FALSE),IF(FacingSheet!$B$11=100,VLOOKUP(Q150,AgeF,7,FALSE),"")))))))</f>
        <v/>
      </c>
      <c r="T150" s="108" t="str">
        <f t="shared" si="4"/>
        <v/>
      </c>
      <c r="U150" s="29"/>
      <c r="V150" s="29"/>
      <c r="W150" s="29"/>
      <c r="X150" s="132"/>
      <c r="Y150" s="132"/>
      <c r="Z150" s="132"/>
    </row>
    <row r="151" spans="1:26">
      <c r="A151" s="36"/>
      <c r="B151" s="133"/>
      <c r="C151" s="133"/>
      <c r="D151" s="106" t="str">
        <f t="shared" si="5"/>
        <v xml:space="preserve"> </v>
      </c>
      <c r="E151" s="29"/>
      <c r="F151" s="29"/>
      <c r="G151" s="29"/>
      <c r="H151" s="193"/>
      <c r="I151" s="131"/>
      <c r="J151" s="100" t="str">
        <f>IF(FacingSheet!$B$11=10,IF(ISERROR(((((H151*1440)-20)*60)-(((H151*1440)-20)^1.6)*2.5)/86400),"",((((H151*1440)-20)*60)-(((H151*1440)-20)^1.6)*2.5)/86400),"")</f>
        <v/>
      </c>
      <c r="K151" s="100" t="str">
        <f>IF(FacingSheet!$B$11=15,IF(ISERROR(((((H151*1440)-33)*60)-(((H151*1440)-33)^1.6)*1.667)/86400),"",((((H151*1440)-33)*60)-(((H151*1440)-33)^1.6)*1.667)/86400),"")</f>
        <v/>
      </c>
      <c r="L151" s="100" t="str">
        <f>IF(FacingSheet!$B$11=25,IF(ISERROR(((((H151*1440)-50)*60)-(((H151*1440)-50)^1.6))/86400),"",((((H151*1440)-50)*60)-(((H151*1440)-50)^1.6))/86400),"")</f>
        <v/>
      </c>
      <c r="M151" s="100" t="str">
        <f>IF(FacingSheet!$B$11=30,IF(ISERROR(((((H151*1440)-60)*60)-((((H151*1440)-60)^1.6))/1.2)/86400),"",((((H151*1440)-60)*60)-((((H151*1440)-60)^1.6))/1.2)/86400),"")</f>
        <v/>
      </c>
      <c r="N151" s="100" t="str">
        <f>IF(FacingSheet!$B$11=50,IF(ISERROR(((((H151*1440)-105)*60)-((((H151*1440)-105)^1.6))/2)/86400),"",((((H151*1440)-105)*60)-((((H151*1440)-105)^1.6))/2)/86400),"")</f>
        <v/>
      </c>
      <c r="O151" s="100" t="str">
        <f>IF(FacingSheet!$B$11=100,IF(ISERROR(((((H151*1440)-230)*60)-((((H151*1440)-230)^1.6))/4)/86400),"",((((H151*1440)-230)*60)-((((H151*1440)-230)^1.6))/4)/86400),"")</f>
        <v/>
      </c>
      <c r="P151" s="108" t="str">
        <f>IF(FacingSheet!$B$11=10,J151,IF(FacingSheet!$B$11=15,K151,IF(FacingSheet!$B$11=25,L151,IF(FacingSheet!$B$11=30,M151,IF(FacingSheet!$B$11=50,N151,IF(FacingSheet!$B$11=100,O151,""))))))</f>
        <v/>
      </c>
      <c r="Q151" s="65" t="str">
        <f>IF(OR(F151="V",F151="FV"),IF(I151="","",IF(MONTH(FacingSheet!$S$9)&gt;MONTH(I151),YEAR(FacingSheet!$S$9)-YEAR(I151),IF(AND(MONTH(FacingSheet!$S$9)=MONTH(I151),DAY(FacingSheet!$S$9)&gt;=DAY(I151)),YEAR(FacingSheet!$S$9)-YEAR(I151),(YEAR(FacingSheet!$S$9)-YEAR(I151))-1))),"")</f>
        <v/>
      </c>
      <c r="R151" s="108" t="str">
        <f>IF(Q151="","",IF(FacingSheet!$B$11=10,VLOOKUP(Q151,Age,2,FALSE),IF(FacingSheet!$B$11=15,VLOOKUP(Q151,Age,3,FALSE),IF(FacingSheet!$B$11=25,VLOOKUP(Q151,Age,4,FALSE),IF(FacingSheet!$B$11=30,VLOOKUP(Q151,Age,5,FALSE),IF(FacingSheet!$B$11=50,VLOOKUP(Q151,Age,6,FALSE),IF(FacingSheet!$B$11=100,VLOOKUP(Q151,Age,7,FALSE),"")))))))</f>
        <v/>
      </c>
      <c r="S151" s="108" t="str">
        <f>IF(Q151="","",IF(FacingSheet!$B$11=10,VLOOKUP(Q151,AgeF,2,FALSE),IF(FacingSheet!$B$11=15,VLOOKUP(Q151,AgeF,3,FALSE),IF(FacingSheet!$B$11=25,VLOOKUP(Q151,AgeF,4,FALSE),IF(FacingSheet!$B$11=30,VLOOKUP(Q151,AgeF,5,FALSE),IF(FacingSheet!$B$11=50,VLOOKUP(Q151,AgeF,6,FALSE),IF(FacingSheet!$B$11=100,VLOOKUP(Q151,AgeF,7,FALSE),"")))))))</f>
        <v/>
      </c>
      <c r="T151" s="108" t="str">
        <f t="shared" si="4"/>
        <v/>
      </c>
      <c r="U151" s="29"/>
      <c r="V151" s="29"/>
      <c r="W151" s="29"/>
      <c r="X151" s="132"/>
      <c r="Y151" s="132"/>
      <c r="Z151" s="132"/>
    </row>
    <row r="152" spans="1:26">
      <c r="A152" s="36"/>
      <c r="B152" s="133"/>
      <c r="C152" s="133"/>
      <c r="D152" s="106" t="str">
        <f t="shared" si="5"/>
        <v xml:space="preserve"> </v>
      </c>
      <c r="E152" s="29"/>
      <c r="F152" s="29"/>
      <c r="G152" s="29"/>
      <c r="H152" s="193"/>
      <c r="I152" s="131"/>
      <c r="J152" s="100" t="str">
        <f>IF(FacingSheet!$B$11=10,IF(ISERROR(((((H152*1440)-20)*60)-(((H152*1440)-20)^1.6)*2.5)/86400),"",((((H152*1440)-20)*60)-(((H152*1440)-20)^1.6)*2.5)/86400),"")</f>
        <v/>
      </c>
      <c r="K152" s="100" t="str">
        <f>IF(FacingSheet!$B$11=15,IF(ISERROR(((((H152*1440)-33)*60)-(((H152*1440)-33)^1.6)*1.667)/86400),"",((((H152*1440)-33)*60)-(((H152*1440)-33)^1.6)*1.667)/86400),"")</f>
        <v/>
      </c>
      <c r="L152" s="100" t="str">
        <f>IF(FacingSheet!$B$11=25,IF(ISERROR(((((H152*1440)-50)*60)-(((H152*1440)-50)^1.6))/86400),"",((((H152*1440)-50)*60)-(((H152*1440)-50)^1.6))/86400),"")</f>
        <v/>
      </c>
      <c r="M152" s="100" t="str">
        <f>IF(FacingSheet!$B$11=30,IF(ISERROR(((((H152*1440)-60)*60)-((((H152*1440)-60)^1.6))/1.2)/86400),"",((((H152*1440)-60)*60)-((((H152*1440)-60)^1.6))/1.2)/86400),"")</f>
        <v/>
      </c>
      <c r="N152" s="100" t="str">
        <f>IF(FacingSheet!$B$11=50,IF(ISERROR(((((H152*1440)-105)*60)-((((H152*1440)-105)^1.6))/2)/86400),"",((((H152*1440)-105)*60)-((((H152*1440)-105)^1.6))/2)/86400),"")</f>
        <v/>
      </c>
      <c r="O152" s="100" t="str">
        <f>IF(FacingSheet!$B$11=100,IF(ISERROR(((((H152*1440)-230)*60)-((((H152*1440)-230)^1.6))/4)/86400),"",((((H152*1440)-230)*60)-((((H152*1440)-230)^1.6))/4)/86400),"")</f>
        <v/>
      </c>
      <c r="P152" s="108" t="str">
        <f>IF(FacingSheet!$B$11=10,J152,IF(FacingSheet!$B$11=15,K152,IF(FacingSheet!$B$11=25,L152,IF(FacingSheet!$B$11=30,M152,IF(FacingSheet!$B$11=50,N152,IF(FacingSheet!$B$11=100,O152,""))))))</f>
        <v/>
      </c>
      <c r="Q152" s="65" t="str">
        <f>IF(OR(F152="V",F152="FV"),IF(I152="","",IF(MONTH(FacingSheet!$S$9)&gt;MONTH(I152),YEAR(FacingSheet!$S$9)-YEAR(I152),IF(AND(MONTH(FacingSheet!$S$9)=MONTH(I152),DAY(FacingSheet!$S$9)&gt;=DAY(I152)),YEAR(FacingSheet!$S$9)-YEAR(I152),(YEAR(FacingSheet!$S$9)-YEAR(I152))-1))),"")</f>
        <v/>
      </c>
      <c r="R152" s="108" t="str">
        <f>IF(Q152="","",IF(FacingSheet!$B$11=10,VLOOKUP(Q152,Age,2,FALSE),IF(FacingSheet!$B$11=15,VLOOKUP(Q152,Age,3,FALSE),IF(FacingSheet!$B$11=25,VLOOKUP(Q152,Age,4,FALSE),IF(FacingSheet!$B$11=30,VLOOKUP(Q152,Age,5,FALSE),IF(FacingSheet!$B$11=50,VLOOKUP(Q152,Age,6,FALSE),IF(FacingSheet!$B$11=100,VLOOKUP(Q152,Age,7,FALSE),"")))))))</f>
        <v/>
      </c>
      <c r="S152" s="108" t="str">
        <f>IF(Q152="","",IF(FacingSheet!$B$11=10,VLOOKUP(Q152,AgeF,2,FALSE),IF(FacingSheet!$B$11=15,VLOOKUP(Q152,AgeF,3,FALSE),IF(FacingSheet!$B$11=25,VLOOKUP(Q152,AgeF,4,FALSE),IF(FacingSheet!$B$11=30,VLOOKUP(Q152,AgeF,5,FALSE),IF(FacingSheet!$B$11=50,VLOOKUP(Q152,AgeF,6,FALSE),IF(FacingSheet!$B$11=100,VLOOKUP(Q152,AgeF,7,FALSE),"")))))))</f>
        <v/>
      </c>
      <c r="T152" s="108" t="str">
        <f t="shared" si="4"/>
        <v/>
      </c>
      <c r="U152" s="29"/>
      <c r="V152" s="29"/>
      <c r="W152" s="29"/>
      <c r="X152" s="132"/>
      <c r="Y152" s="132"/>
      <c r="Z152" s="132"/>
    </row>
    <row r="153" spans="1:26">
      <c r="A153" s="36"/>
      <c r="B153" s="133"/>
      <c r="C153" s="133"/>
      <c r="D153" s="106" t="str">
        <f t="shared" si="5"/>
        <v xml:space="preserve"> </v>
      </c>
      <c r="E153" s="29"/>
      <c r="F153" s="29"/>
      <c r="G153" s="29"/>
      <c r="H153" s="193"/>
      <c r="I153" s="131"/>
      <c r="J153" s="100" t="str">
        <f>IF(FacingSheet!$B$11=10,IF(ISERROR(((((H153*1440)-20)*60)-(((H153*1440)-20)^1.6)*2.5)/86400),"",((((H153*1440)-20)*60)-(((H153*1440)-20)^1.6)*2.5)/86400),"")</f>
        <v/>
      </c>
      <c r="K153" s="100" t="str">
        <f>IF(FacingSheet!$B$11=15,IF(ISERROR(((((H153*1440)-33)*60)-(((H153*1440)-33)^1.6)*1.667)/86400),"",((((H153*1440)-33)*60)-(((H153*1440)-33)^1.6)*1.667)/86400),"")</f>
        <v/>
      </c>
      <c r="L153" s="100" t="str">
        <f>IF(FacingSheet!$B$11=25,IF(ISERROR(((((H153*1440)-50)*60)-(((H153*1440)-50)^1.6))/86400),"",((((H153*1440)-50)*60)-(((H153*1440)-50)^1.6))/86400),"")</f>
        <v/>
      </c>
      <c r="M153" s="100" t="str">
        <f>IF(FacingSheet!$B$11=30,IF(ISERROR(((((H153*1440)-60)*60)-((((H153*1440)-60)^1.6))/1.2)/86400),"",((((H153*1440)-60)*60)-((((H153*1440)-60)^1.6))/1.2)/86400),"")</f>
        <v/>
      </c>
      <c r="N153" s="100" t="str">
        <f>IF(FacingSheet!$B$11=50,IF(ISERROR(((((H153*1440)-105)*60)-((((H153*1440)-105)^1.6))/2)/86400),"",((((H153*1440)-105)*60)-((((H153*1440)-105)^1.6))/2)/86400),"")</f>
        <v/>
      </c>
      <c r="O153" s="100" t="str">
        <f>IF(FacingSheet!$B$11=100,IF(ISERROR(((((H153*1440)-230)*60)-((((H153*1440)-230)^1.6))/4)/86400),"",((((H153*1440)-230)*60)-((((H153*1440)-230)^1.6))/4)/86400),"")</f>
        <v/>
      </c>
      <c r="P153" s="108" t="str">
        <f>IF(FacingSheet!$B$11=10,J153,IF(FacingSheet!$B$11=15,K153,IF(FacingSheet!$B$11=25,L153,IF(FacingSheet!$B$11=30,M153,IF(FacingSheet!$B$11=50,N153,IF(FacingSheet!$B$11=100,O153,""))))))</f>
        <v/>
      </c>
      <c r="Q153" s="65" t="str">
        <f>IF(OR(F153="V",F153="FV"),IF(I153="","",IF(MONTH(FacingSheet!$S$9)&gt;MONTH(I153),YEAR(FacingSheet!$S$9)-YEAR(I153),IF(AND(MONTH(FacingSheet!$S$9)=MONTH(I153),DAY(FacingSheet!$S$9)&gt;=DAY(I153)),YEAR(FacingSheet!$S$9)-YEAR(I153),(YEAR(FacingSheet!$S$9)-YEAR(I153))-1))),"")</f>
        <v/>
      </c>
      <c r="R153" s="108" t="str">
        <f>IF(Q153="","",IF(FacingSheet!$B$11=10,VLOOKUP(Q153,Age,2,FALSE),IF(FacingSheet!$B$11=15,VLOOKUP(Q153,Age,3,FALSE),IF(FacingSheet!$B$11=25,VLOOKUP(Q153,Age,4,FALSE),IF(FacingSheet!$B$11=30,VLOOKUP(Q153,Age,5,FALSE),IF(FacingSheet!$B$11=50,VLOOKUP(Q153,Age,6,FALSE),IF(FacingSheet!$B$11=100,VLOOKUP(Q153,Age,7,FALSE),"")))))))</f>
        <v/>
      </c>
      <c r="S153" s="108" t="str">
        <f>IF(Q153="","",IF(FacingSheet!$B$11=10,VLOOKUP(Q153,AgeF,2,FALSE),IF(FacingSheet!$B$11=15,VLOOKUP(Q153,AgeF,3,FALSE),IF(FacingSheet!$B$11=25,VLOOKUP(Q153,AgeF,4,FALSE),IF(FacingSheet!$B$11=30,VLOOKUP(Q153,AgeF,5,FALSE),IF(FacingSheet!$B$11=50,VLOOKUP(Q153,AgeF,6,FALSE),IF(FacingSheet!$B$11=100,VLOOKUP(Q153,AgeF,7,FALSE),"")))))))</f>
        <v/>
      </c>
      <c r="T153" s="108" t="str">
        <f t="shared" si="4"/>
        <v/>
      </c>
      <c r="U153" s="29"/>
      <c r="V153" s="29"/>
      <c r="W153" s="29"/>
      <c r="X153" s="132"/>
      <c r="Y153" s="132"/>
      <c r="Z153" s="132"/>
    </row>
    <row r="154" spans="1:26">
      <c r="A154" s="36"/>
      <c r="B154" s="133"/>
      <c r="C154" s="133"/>
      <c r="D154" s="106" t="str">
        <f t="shared" si="5"/>
        <v xml:space="preserve"> </v>
      </c>
      <c r="E154" s="29"/>
      <c r="F154" s="29"/>
      <c r="G154" s="29"/>
      <c r="H154" s="193"/>
      <c r="I154" s="131"/>
      <c r="J154" s="100" t="str">
        <f>IF(FacingSheet!$B$11=10,IF(ISERROR(((((H154*1440)-20)*60)-(((H154*1440)-20)^1.6)*2.5)/86400),"",((((H154*1440)-20)*60)-(((H154*1440)-20)^1.6)*2.5)/86400),"")</f>
        <v/>
      </c>
      <c r="K154" s="100" t="str">
        <f>IF(FacingSheet!$B$11=15,IF(ISERROR(((((H154*1440)-33)*60)-(((H154*1440)-33)^1.6)*1.667)/86400),"",((((H154*1440)-33)*60)-(((H154*1440)-33)^1.6)*1.667)/86400),"")</f>
        <v/>
      </c>
      <c r="L154" s="100" t="str">
        <f>IF(FacingSheet!$B$11=25,IF(ISERROR(((((H154*1440)-50)*60)-(((H154*1440)-50)^1.6))/86400),"",((((H154*1440)-50)*60)-(((H154*1440)-50)^1.6))/86400),"")</f>
        <v/>
      </c>
      <c r="M154" s="100" t="str">
        <f>IF(FacingSheet!$B$11=30,IF(ISERROR(((((H154*1440)-60)*60)-((((H154*1440)-60)^1.6))/1.2)/86400),"",((((H154*1440)-60)*60)-((((H154*1440)-60)^1.6))/1.2)/86400),"")</f>
        <v/>
      </c>
      <c r="N154" s="100" t="str">
        <f>IF(FacingSheet!$B$11=50,IF(ISERROR(((((H154*1440)-105)*60)-((((H154*1440)-105)^1.6))/2)/86400),"",((((H154*1440)-105)*60)-((((H154*1440)-105)^1.6))/2)/86400),"")</f>
        <v/>
      </c>
      <c r="O154" s="100" t="str">
        <f>IF(FacingSheet!$B$11=100,IF(ISERROR(((((H154*1440)-230)*60)-((((H154*1440)-230)^1.6))/4)/86400),"",((((H154*1440)-230)*60)-((((H154*1440)-230)^1.6))/4)/86400),"")</f>
        <v/>
      </c>
      <c r="P154" s="108" t="str">
        <f>IF(FacingSheet!$B$11=10,J154,IF(FacingSheet!$B$11=15,K154,IF(FacingSheet!$B$11=25,L154,IF(FacingSheet!$B$11=30,M154,IF(FacingSheet!$B$11=50,N154,IF(FacingSheet!$B$11=100,O154,""))))))</f>
        <v/>
      </c>
      <c r="Q154" s="65" t="str">
        <f>IF(OR(F154="V",F154="FV"),IF(I154="","",IF(MONTH(FacingSheet!$S$9)&gt;MONTH(I154),YEAR(FacingSheet!$S$9)-YEAR(I154),IF(AND(MONTH(FacingSheet!$S$9)=MONTH(I154),DAY(FacingSheet!$S$9)&gt;=DAY(I154)),YEAR(FacingSheet!$S$9)-YEAR(I154),(YEAR(FacingSheet!$S$9)-YEAR(I154))-1))),"")</f>
        <v/>
      </c>
      <c r="R154" s="108" t="str">
        <f>IF(Q154="","",IF(FacingSheet!$B$11=10,VLOOKUP(Q154,Age,2,FALSE),IF(FacingSheet!$B$11=15,VLOOKUP(Q154,Age,3,FALSE),IF(FacingSheet!$B$11=25,VLOOKUP(Q154,Age,4,FALSE),IF(FacingSheet!$B$11=30,VLOOKUP(Q154,Age,5,FALSE),IF(FacingSheet!$B$11=50,VLOOKUP(Q154,Age,6,FALSE),IF(FacingSheet!$B$11=100,VLOOKUP(Q154,Age,7,FALSE),"")))))))</f>
        <v/>
      </c>
      <c r="S154" s="108" t="str">
        <f>IF(Q154="","",IF(FacingSheet!$B$11=10,VLOOKUP(Q154,AgeF,2,FALSE),IF(FacingSheet!$B$11=15,VLOOKUP(Q154,AgeF,3,FALSE),IF(FacingSheet!$B$11=25,VLOOKUP(Q154,AgeF,4,FALSE),IF(FacingSheet!$B$11=30,VLOOKUP(Q154,AgeF,5,FALSE),IF(FacingSheet!$B$11=50,VLOOKUP(Q154,AgeF,6,FALSE),IF(FacingSheet!$B$11=100,VLOOKUP(Q154,AgeF,7,FALSE),"")))))))</f>
        <v/>
      </c>
      <c r="T154" s="108" t="str">
        <f t="shared" si="4"/>
        <v/>
      </c>
      <c r="U154" s="29"/>
      <c r="V154" s="29"/>
      <c r="W154" s="29"/>
      <c r="X154" s="132"/>
      <c r="Y154" s="132"/>
      <c r="Z154" s="132"/>
    </row>
    <row r="155" spans="1:26">
      <c r="A155" s="36"/>
      <c r="B155" s="133"/>
      <c r="C155" s="133"/>
      <c r="D155" s="106" t="str">
        <f t="shared" si="5"/>
        <v xml:space="preserve"> </v>
      </c>
      <c r="E155" s="29"/>
      <c r="F155" s="29"/>
      <c r="G155" s="29"/>
      <c r="H155" s="193"/>
      <c r="I155" s="131"/>
      <c r="J155" s="100" t="str">
        <f>IF(FacingSheet!$B$11=10,IF(ISERROR(((((H155*1440)-20)*60)-(((H155*1440)-20)^1.6)*2.5)/86400),"",((((H155*1440)-20)*60)-(((H155*1440)-20)^1.6)*2.5)/86400),"")</f>
        <v/>
      </c>
      <c r="K155" s="100" t="str">
        <f>IF(FacingSheet!$B$11=15,IF(ISERROR(((((H155*1440)-33)*60)-(((H155*1440)-33)^1.6)*1.667)/86400),"",((((H155*1440)-33)*60)-(((H155*1440)-33)^1.6)*1.667)/86400),"")</f>
        <v/>
      </c>
      <c r="L155" s="100" t="str">
        <f>IF(FacingSheet!$B$11=25,IF(ISERROR(((((H155*1440)-50)*60)-(((H155*1440)-50)^1.6))/86400),"",((((H155*1440)-50)*60)-(((H155*1440)-50)^1.6))/86400),"")</f>
        <v/>
      </c>
      <c r="M155" s="100" t="str">
        <f>IF(FacingSheet!$B$11=30,IF(ISERROR(((((H155*1440)-60)*60)-((((H155*1440)-60)^1.6))/1.2)/86400),"",((((H155*1440)-60)*60)-((((H155*1440)-60)^1.6))/1.2)/86400),"")</f>
        <v/>
      </c>
      <c r="N155" s="100" t="str">
        <f>IF(FacingSheet!$B$11=50,IF(ISERROR(((((H155*1440)-105)*60)-((((H155*1440)-105)^1.6))/2)/86400),"",((((H155*1440)-105)*60)-((((H155*1440)-105)^1.6))/2)/86400),"")</f>
        <v/>
      </c>
      <c r="O155" s="100" t="str">
        <f>IF(FacingSheet!$B$11=100,IF(ISERROR(((((H155*1440)-230)*60)-((((H155*1440)-230)^1.6))/4)/86400),"",((((H155*1440)-230)*60)-((((H155*1440)-230)^1.6))/4)/86400),"")</f>
        <v/>
      </c>
      <c r="P155" s="108" t="str">
        <f>IF(FacingSheet!$B$11=10,J155,IF(FacingSheet!$B$11=15,K155,IF(FacingSheet!$B$11=25,L155,IF(FacingSheet!$B$11=30,M155,IF(FacingSheet!$B$11=50,N155,IF(FacingSheet!$B$11=100,O155,""))))))</f>
        <v/>
      </c>
      <c r="Q155" s="65" t="str">
        <f>IF(OR(F155="V",F155="FV"),IF(I155="","",IF(MONTH(FacingSheet!$S$9)&gt;MONTH(I155),YEAR(FacingSheet!$S$9)-YEAR(I155),IF(AND(MONTH(FacingSheet!$S$9)=MONTH(I155),DAY(FacingSheet!$S$9)&gt;=DAY(I155)),YEAR(FacingSheet!$S$9)-YEAR(I155),(YEAR(FacingSheet!$S$9)-YEAR(I155))-1))),"")</f>
        <v/>
      </c>
      <c r="R155" s="108" t="str">
        <f>IF(Q155="","",IF(FacingSheet!$B$11=10,VLOOKUP(Q155,Age,2,FALSE),IF(FacingSheet!$B$11=15,VLOOKUP(Q155,Age,3,FALSE),IF(FacingSheet!$B$11=25,VLOOKUP(Q155,Age,4,FALSE),IF(FacingSheet!$B$11=30,VLOOKUP(Q155,Age,5,FALSE),IF(FacingSheet!$B$11=50,VLOOKUP(Q155,Age,6,FALSE),IF(FacingSheet!$B$11=100,VLOOKUP(Q155,Age,7,FALSE),"")))))))</f>
        <v/>
      </c>
      <c r="S155" s="108" t="str">
        <f>IF(Q155="","",IF(FacingSheet!$B$11=10,VLOOKUP(Q155,AgeF,2,FALSE),IF(FacingSheet!$B$11=15,VLOOKUP(Q155,AgeF,3,FALSE),IF(FacingSheet!$B$11=25,VLOOKUP(Q155,AgeF,4,FALSE),IF(FacingSheet!$B$11=30,VLOOKUP(Q155,AgeF,5,FALSE),IF(FacingSheet!$B$11=50,VLOOKUP(Q155,AgeF,6,FALSE),IF(FacingSheet!$B$11=100,VLOOKUP(Q155,AgeF,7,FALSE),"")))))))</f>
        <v/>
      </c>
      <c r="T155" s="108" t="str">
        <f t="shared" si="4"/>
        <v/>
      </c>
      <c r="X155" s="132"/>
      <c r="Y155" s="132"/>
      <c r="Z155" s="132"/>
    </row>
    <row r="156" spans="1:26">
      <c r="A156" s="36"/>
      <c r="B156" s="133"/>
      <c r="C156" s="133"/>
      <c r="D156" s="106" t="str">
        <f t="shared" si="5"/>
        <v xml:space="preserve"> </v>
      </c>
      <c r="E156" s="29"/>
      <c r="F156" s="29"/>
      <c r="G156" s="29"/>
      <c r="H156" s="193"/>
      <c r="I156" s="131"/>
      <c r="J156" s="100" t="str">
        <f>IF(FacingSheet!$B$11=10,IF(ISERROR(((((H156*1440)-20)*60)-(((H156*1440)-20)^1.6)*2.5)/86400),"",((((H156*1440)-20)*60)-(((H156*1440)-20)^1.6)*2.5)/86400),"")</f>
        <v/>
      </c>
      <c r="K156" s="100" t="str">
        <f>IF(FacingSheet!$B$11=15,IF(ISERROR(((((H156*1440)-33)*60)-(((H156*1440)-33)^1.6)*1.667)/86400),"",((((H156*1440)-33)*60)-(((H156*1440)-33)^1.6)*1.667)/86400),"")</f>
        <v/>
      </c>
      <c r="L156" s="100" t="str">
        <f>IF(FacingSheet!$B$11=25,IF(ISERROR(((((H156*1440)-50)*60)-(((H156*1440)-50)^1.6))/86400),"",((((H156*1440)-50)*60)-(((H156*1440)-50)^1.6))/86400),"")</f>
        <v/>
      </c>
      <c r="M156" s="100" t="str">
        <f>IF(FacingSheet!$B$11=30,IF(ISERROR(((((H156*1440)-60)*60)-((((H156*1440)-60)^1.6))/1.2)/86400),"",((((H156*1440)-60)*60)-((((H156*1440)-60)^1.6))/1.2)/86400),"")</f>
        <v/>
      </c>
      <c r="N156" s="100" t="str">
        <f>IF(FacingSheet!$B$11=50,IF(ISERROR(((((H156*1440)-105)*60)-((((H156*1440)-105)^1.6))/2)/86400),"",((((H156*1440)-105)*60)-((((H156*1440)-105)^1.6))/2)/86400),"")</f>
        <v/>
      </c>
      <c r="O156" s="100" t="str">
        <f>IF(FacingSheet!$B$11=100,IF(ISERROR(((((H156*1440)-230)*60)-((((H156*1440)-230)^1.6))/4)/86400),"",((((H156*1440)-230)*60)-((((H156*1440)-230)^1.6))/4)/86400),"")</f>
        <v/>
      </c>
      <c r="P156" s="108" t="str">
        <f>IF(FacingSheet!$B$11=10,J156,IF(FacingSheet!$B$11=15,K156,IF(FacingSheet!$B$11=25,L156,IF(FacingSheet!$B$11=30,M156,IF(FacingSheet!$B$11=50,N156,IF(FacingSheet!$B$11=100,O156,""))))))</f>
        <v/>
      </c>
      <c r="Q156" s="65" t="str">
        <f>IF(OR(F156="V",F156="FV"),IF(I156="","",IF(MONTH(FacingSheet!$S$9)&gt;MONTH(I156),YEAR(FacingSheet!$S$9)-YEAR(I156),IF(AND(MONTH(FacingSheet!$S$9)=MONTH(I156),DAY(FacingSheet!$S$9)&gt;=DAY(I156)),YEAR(FacingSheet!$S$9)-YEAR(I156),(YEAR(FacingSheet!$S$9)-YEAR(I156))-1))),"")</f>
        <v/>
      </c>
      <c r="R156" s="108" t="str">
        <f>IF(Q156="","",IF(FacingSheet!$B$11=10,VLOOKUP(Q156,Age,2,FALSE),IF(FacingSheet!$B$11=15,VLOOKUP(Q156,Age,3,FALSE),IF(FacingSheet!$B$11=25,VLOOKUP(Q156,Age,4,FALSE),IF(FacingSheet!$B$11=30,VLOOKUP(Q156,Age,5,FALSE),IF(FacingSheet!$B$11=50,VLOOKUP(Q156,Age,6,FALSE),IF(FacingSheet!$B$11=100,VLOOKUP(Q156,Age,7,FALSE),"")))))))</f>
        <v/>
      </c>
      <c r="S156" s="108" t="str">
        <f>IF(Q156="","",IF(FacingSheet!$B$11=10,VLOOKUP(Q156,AgeF,2,FALSE),IF(FacingSheet!$B$11=15,VLOOKUP(Q156,AgeF,3,FALSE),IF(FacingSheet!$B$11=25,VLOOKUP(Q156,AgeF,4,FALSE),IF(FacingSheet!$B$11=30,VLOOKUP(Q156,AgeF,5,FALSE),IF(FacingSheet!$B$11=50,VLOOKUP(Q156,AgeF,6,FALSE),IF(FacingSheet!$B$11=100,VLOOKUP(Q156,AgeF,7,FALSE),"")))))))</f>
        <v/>
      </c>
      <c r="T156" s="108" t="str">
        <f t="shared" si="4"/>
        <v/>
      </c>
      <c r="X156" s="132"/>
      <c r="Y156" s="132"/>
      <c r="Z156" s="132"/>
    </row>
    <row r="157" spans="1:26">
      <c r="A157" s="36"/>
      <c r="B157" s="133"/>
      <c r="C157" s="133"/>
      <c r="D157" s="106" t="str">
        <f t="shared" si="5"/>
        <v xml:space="preserve"> </v>
      </c>
      <c r="E157" s="29"/>
      <c r="F157" s="29"/>
      <c r="G157" s="29"/>
      <c r="H157" s="193"/>
      <c r="I157" s="131"/>
      <c r="J157" s="100" t="str">
        <f>IF(FacingSheet!$B$11=10,IF(ISERROR(((((H157*1440)-20)*60)-(((H157*1440)-20)^1.6)*2.5)/86400),"",((((H157*1440)-20)*60)-(((H157*1440)-20)^1.6)*2.5)/86400),"")</f>
        <v/>
      </c>
      <c r="K157" s="100" t="str">
        <f>IF(FacingSheet!$B$11=15,IF(ISERROR(((((H157*1440)-33)*60)-(((H157*1440)-33)^1.6)*1.667)/86400),"",((((H157*1440)-33)*60)-(((H157*1440)-33)^1.6)*1.667)/86400),"")</f>
        <v/>
      </c>
      <c r="L157" s="100" t="str">
        <f>IF(FacingSheet!$B$11=25,IF(ISERROR(((((H157*1440)-50)*60)-(((H157*1440)-50)^1.6))/86400),"",((((H157*1440)-50)*60)-(((H157*1440)-50)^1.6))/86400),"")</f>
        <v/>
      </c>
      <c r="M157" s="100" t="str">
        <f>IF(FacingSheet!$B$11=30,IF(ISERROR(((((H157*1440)-60)*60)-((((H157*1440)-60)^1.6))/1.2)/86400),"",((((H157*1440)-60)*60)-((((H157*1440)-60)^1.6))/1.2)/86400),"")</f>
        <v/>
      </c>
      <c r="N157" s="100" t="str">
        <f>IF(FacingSheet!$B$11=50,IF(ISERROR(((((H157*1440)-105)*60)-((((H157*1440)-105)^1.6))/2)/86400),"",((((H157*1440)-105)*60)-((((H157*1440)-105)^1.6))/2)/86400),"")</f>
        <v/>
      </c>
      <c r="O157" s="100" t="str">
        <f>IF(FacingSheet!$B$11=100,IF(ISERROR(((((H157*1440)-230)*60)-((((H157*1440)-230)^1.6))/4)/86400),"",((((H157*1440)-230)*60)-((((H157*1440)-230)^1.6))/4)/86400),"")</f>
        <v/>
      </c>
      <c r="P157" s="108" t="str">
        <f>IF(FacingSheet!$B$11=10,J157,IF(FacingSheet!$B$11=15,K157,IF(FacingSheet!$B$11=25,L157,IF(FacingSheet!$B$11=30,M157,IF(FacingSheet!$B$11=50,N157,IF(FacingSheet!$B$11=100,O157,""))))))</f>
        <v/>
      </c>
      <c r="Q157" s="65" t="str">
        <f>IF(OR(F157="V",F157="FV"),IF(I157="","",IF(MONTH(FacingSheet!$S$9)&gt;MONTH(I157),YEAR(FacingSheet!$S$9)-YEAR(I157),IF(AND(MONTH(FacingSheet!$S$9)=MONTH(I157),DAY(FacingSheet!$S$9)&gt;=DAY(I157)),YEAR(FacingSheet!$S$9)-YEAR(I157),(YEAR(FacingSheet!$S$9)-YEAR(I157))-1))),"")</f>
        <v/>
      </c>
      <c r="R157" s="108" t="str">
        <f>IF(Q157="","",IF(FacingSheet!$B$11=10,VLOOKUP(Q157,Age,2,FALSE),IF(FacingSheet!$B$11=15,VLOOKUP(Q157,Age,3,FALSE),IF(FacingSheet!$B$11=25,VLOOKUP(Q157,Age,4,FALSE),IF(FacingSheet!$B$11=30,VLOOKUP(Q157,Age,5,FALSE),IF(FacingSheet!$B$11=50,VLOOKUP(Q157,Age,6,FALSE),IF(FacingSheet!$B$11=100,VLOOKUP(Q157,Age,7,FALSE),"")))))))</f>
        <v/>
      </c>
      <c r="S157" s="108" t="str">
        <f>IF(Q157="","",IF(FacingSheet!$B$11=10,VLOOKUP(Q157,AgeF,2,FALSE),IF(FacingSheet!$B$11=15,VLOOKUP(Q157,AgeF,3,FALSE),IF(FacingSheet!$B$11=25,VLOOKUP(Q157,AgeF,4,FALSE),IF(FacingSheet!$B$11=30,VLOOKUP(Q157,AgeF,5,FALSE),IF(FacingSheet!$B$11=50,VLOOKUP(Q157,AgeF,6,FALSE),IF(FacingSheet!$B$11=100,VLOOKUP(Q157,AgeF,7,FALSE),"")))))))</f>
        <v/>
      </c>
      <c r="T157" s="108" t="str">
        <f t="shared" si="4"/>
        <v/>
      </c>
      <c r="X157" s="132"/>
      <c r="Y157" s="132"/>
      <c r="Z157" s="132"/>
    </row>
    <row r="158" spans="1:26">
      <c r="A158" s="36"/>
      <c r="B158" s="133"/>
      <c r="C158" s="133"/>
      <c r="D158" s="106" t="str">
        <f t="shared" si="5"/>
        <v xml:space="preserve"> </v>
      </c>
      <c r="E158" s="29"/>
      <c r="F158" s="29"/>
      <c r="G158" s="29"/>
      <c r="H158" s="193"/>
      <c r="I158" s="131"/>
      <c r="J158" s="100" t="str">
        <f>IF(FacingSheet!$B$11=10,IF(ISERROR(((((H158*1440)-20)*60)-(((H158*1440)-20)^1.6)*2.5)/86400),"",((((H158*1440)-20)*60)-(((H158*1440)-20)^1.6)*2.5)/86400),"")</f>
        <v/>
      </c>
      <c r="K158" s="100" t="str">
        <f>IF(FacingSheet!$B$11=15,IF(ISERROR(((((H158*1440)-33)*60)-(((H158*1440)-33)^1.6)*1.667)/86400),"",((((H158*1440)-33)*60)-(((H158*1440)-33)^1.6)*1.667)/86400),"")</f>
        <v/>
      </c>
      <c r="L158" s="100" t="str">
        <f>IF(FacingSheet!$B$11=25,IF(ISERROR(((((H158*1440)-50)*60)-(((H158*1440)-50)^1.6))/86400),"",((((H158*1440)-50)*60)-(((H158*1440)-50)^1.6))/86400),"")</f>
        <v/>
      </c>
      <c r="M158" s="100" t="str">
        <f>IF(FacingSheet!$B$11=30,IF(ISERROR(((((H158*1440)-60)*60)-((((H158*1440)-60)^1.6))/1.2)/86400),"",((((H158*1440)-60)*60)-((((H158*1440)-60)^1.6))/1.2)/86400),"")</f>
        <v/>
      </c>
      <c r="N158" s="100" t="str">
        <f>IF(FacingSheet!$B$11=50,IF(ISERROR(((((H158*1440)-105)*60)-((((H158*1440)-105)^1.6))/2)/86400),"",((((H158*1440)-105)*60)-((((H158*1440)-105)^1.6))/2)/86400),"")</f>
        <v/>
      </c>
      <c r="O158" s="100" t="str">
        <f>IF(FacingSheet!$B$11=100,IF(ISERROR(((((H158*1440)-230)*60)-((((H158*1440)-230)^1.6))/4)/86400),"",((((H158*1440)-230)*60)-((((H158*1440)-230)^1.6))/4)/86400),"")</f>
        <v/>
      </c>
      <c r="P158" s="108" t="str">
        <f>IF(FacingSheet!$B$11=10,J158,IF(FacingSheet!$B$11=15,K158,IF(FacingSheet!$B$11=25,L158,IF(FacingSheet!$B$11=30,M158,IF(FacingSheet!$B$11=50,N158,IF(FacingSheet!$B$11=100,O158,""))))))</f>
        <v/>
      </c>
      <c r="Q158" s="65" t="str">
        <f>IF(OR(F158="V",F158="FV"),IF(I158="","",IF(MONTH(FacingSheet!$S$9)&gt;MONTH(I158),YEAR(FacingSheet!$S$9)-YEAR(I158),IF(AND(MONTH(FacingSheet!$S$9)=MONTH(I158),DAY(FacingSheet!$S$9)&gt;=DAY(I158)),YEAR(FacingSheet!$S$9)-YEAR(I158),(YEAR(FacingSheet!$S$9)-YEAR(I158))-1))),"")</f>
        <v/>
      </c>
      <c r="R158" s="108" t="str">
        <f>IF(Q158="","",IF(FacingSheet!$B$11=10,VLOOKUP(Q158,Age,2,FALSE),IF(FacingSheet!$B$11=15,VLOOKUP(Q158,Age,3,FALSE),IF(FacingSheet!$B$11=25,VLOOKUP(Q158,Age,4,FALSE),IF(FacingSheet!$B$11=30,VLOOKUP(Q158,Age,5,FALSE),IF(FacingSheet!$B$11=50,VLOOKUP(Q158,Age,6,FALSE),IF(FacingSheet!$B$11=100,VLOOKUP(Q158,Age,7,FALSE),"")))))))</f>
        <v/>
      </c>
      <c r="S158" s="108" t="str">
        <f>IF(Q158="","",IF(FacingSheet!$B$11=10,VLOOKUP(Q158,AgeF,2,FALSE),IF(FacingSheet!$B$11=15,VLOOKUP(Q158,AgeF,3,FALSE),IF(FacingSheet!$B$11=25,VLOOKUP(Q158,AgeF,4,FALSE),IF(FacingSheet!$B$11=30,VLOOKUP(Q158,AgeF,5,FALSE),IF(FacingSheet!$B$11=50,VLOOKUP(Q158,AgeF,6,FALSE),IF(FacingSheet!$B$11=100,VLOOKUP(Q158,AgeF,7,FALSE),"")))))))</f>
        <v/>
      </c>
      <c r="T158" s="108" t="str">
        <f t="shared" si="4"/>
        <v/>
      </c>
      <c r="X158" s="132"/>
      <c r="Y158" s="132"/>
      <c r="Z158" s="132"/>
    </row>
    <row r="159" spans="1:26">
      <c r="A159" s="36"/>
      <c r="B159" s="133"/>
      <c r="C159" s="133"/>
      <c r="D159" s="106" t="str">
        <f t="shared" si="5"/>
        <v xml:space="preserve"> </v>
      </c>
      <c r="E159" s="29"/>
      <c r="F159" s="29"/>
      <c r="G159" s="29"/>
      <c r="H159" s="193"/>
      <c r="I159" s="131"/>
      <c r="J159" s="100" t="str">
        <f>IF(FacingSheet!$B$11=10,IF(ISERROR(((((H159*1440)-20)*60)-(((H159*1440)-20)^1.6)*2.5)/86400),"",((((H159*1440)-20)*60)-(((H159*1440)-20)^1.6)*2.5)/86400),"")</f>
        <v/>
      </c>
      <c r="K159" s="100" t="str">
        <f>IF(FacingSheet!$B$11=15,IF(ISERROR(((((H159*1440)-33)*60)-(((H159*1440)-33)^1.6)*1.667)/86400),"",((((H159*1440)-33)*60)-(((H159*1440)-33)^1.6)*1.667)/86400),"")</f>
        <v/>
      </c>
      <c r="L159" s="100" t="str">
        <f>IF(FacingSheet!$B$11=25,IF(ISERROR(((((H159*1440)-50)*60)-(((H159*1440)-50)^1.6))/86400),"",((((H159*1440)-50)*60)-(((H159*1440)-50)^1.6))/86400),"")</f>
        <v/>
      </c>
      <c r="M159" s="100" t="str">
        <f>IF(FacingSheet!$B$11=30,IF(ISERROR(((((H159*1440)-60)*60)-((((H159*1440)-60)^1.6))/1.2)/86400),"",((((H159*1440)-60)*60)-((((H159*1440)-60)^1.6))/1.2)/86400),"")</f>
        <v/>
      </c>
      <c r="N159" s="100" t="str">
        <f>IF(FacingSheet!$B$11=50,IF(ISERROR(((((H159*1440)-105)*60)-((((H159*1440)-105)^1.6))/2)/86400),"",((((H159*1440)-105)*60)-((((H159*1440)-105)^1.6))/2)/86400),"")</f>
        <v/>
      </c>
      <c r="O159" s="100" t="str">
        <f>IF(FacingSheet!$B$11=100,IF(ISERROR(((((H159*1440)-230)*60)-((((H159*1440)-230)^1.6))/4)/86400),"",((((H159*1440)-230)*60)-((((H159*1440)-230)^1.6))/4)/86400),"")</f>
        <v/>
      </c>
      <c r="P159" s="108" t="str">
        <f>IF(FacingSheet!$B$11=10,J159,IF(FacingSheet!$B$11=15,K159,IF(FacingSheet!$B$11=25,L159,IF(FacingSheet!$B$11=30,M159,IF(FacingSheet!$B$11=50,N159,IF(FacingSheet!$B$11=100,O159,""))))))</f>
        <v/>
      </c>
      <c r="Q159" s="65" t="str">
        <f>IF(OR(F159="V",F159="FV"),IF(I159="","",IF(MONTH(FacingSheet!$S$9)&gt;MONTH(I159),YEAR(FacingSheet!$S$9)-YEAR(I159),IF(AND(MONTH(FacingSheet!$S$9)=MONTH(I159),DAY(FacingSheet!$S$9)&gt;=DAY(I159)),YEAR(FacingSheet!$S$9)-YEAR(I159),(YEAR(FacingSheet!$S$9)-YEAR(I159))-1))),"")</f>
        <v/>
      </c>
      <c r="R159" s="108" t="str">
        <f>IF(Q159="","",IF(FacingSheet!$B$11=10,VLOOKUP(Q159,Age,2,FALSE),IF(FacingSheet!$B$11=15,VLOOKUP(Q159,Age,3,FALSE),IF(FacingSheet!$B$11=25,VLOOKUP(Q159,Age,4,FALSE),IF(FacingSheet!$B$11=30,VLOOKUP(Q159,Age,5,FALSE),IF(FacingSheet!$B$11=50,VLOOKUP(Q159,Age,6,FALSE),IF(FacingSheet!$B$11=100,VLOOKUP(Q159,Age,7,FALSE),"")))))))</f>
        <v/>
      </c>
      <c r="S159" s="108" t="str">
        <f>IF(Q159="","",IF(FacingSheet!$B$11=10,VLOOKUP(Q159,AgeF,2,FALSE),IF(FacingSheet!$B$11=15,VLOOKUP(Q159,AgeF,3,FALSE),IF(FacingSheet!$B$11=25,VLOOKUP(Q159,AgeF,4,FALSE),IF(FacingSheet!$B$11=30,VLOOKUP(Q159,AgeF,5,FALSE),IF(FacingSheet!$B$11=50,VLOOKUP(Q159,AgeF,6,FALSE),IF(FacingSheet!$B$11=100,VLOOKUP(Q159,AgeF,7,FALSE),"")))))))</f>
        <v/>
      </c>
      <c r="T159" s="108" t="str">
        <f t="shared" ref="T159:T171" si="6">IF(F159="V",R159,IF(F159="FV",S159,""))</f>
        <v/>
      </c>
      <c r="X159" s="132"/>
      <c r="Y159" s="132"/>
      <c r="Z159" s="132"/>
    </row>
    <row r="160" spans="1:26">
      <c r="A160" s="36"/>
      <c r="B160" s="133"/>
      <c r="C160" s="133"/>
      <c r="D160" s="106" t="str">
        <f t="shared" si="5"/>
        <v xml:space="preserve"> </v>
      </c>
      <c r="E160" s="29"/>
      <c r="F160" s="29"/>
      <c r="G160" s="29"/>
      <c r="H160" s="193"/>
      <c r="I160" s="131"/>
      <c r="J160" s="100" t="str">
        <f>IF(FacingSheet!$B$11=10,IF(ISERROR(((((H160*1440)-20)*60)-(((H160*1440)-20)^1.6)*2.5)/86400),"",((((H160*1440)-20)*60)-(((H160*1440)-20)^1.6)*2.5)/86400),"")</f>
        <v/>
      </c>
      <c r="K160" s="100" t="str">
        <f>IF(FacingSheet!$B$11=15,IF(ISERROR(((((H160*1440)-33)*60)-(((H160*1440)-33)^1.6)*1.667)/86400),"",((((H160*1440)-33)*60)-(((H160*1440)-33)^1.6)*1.667)/86400),"")</f>
        <v/>
      </c>
      <c r="L160" s="100" t="str">
        <f>IF(FacingSheet!$B$11=25,IF(ISERROR(((((H160*1440)-50)*60)-(((H160*1440)-50)^1.6))/86400),"",((((H160*1440)-50)*60)-(((H160*1440)-50)^1.6))/86400),"")</f>
        <v/>
      </c>
      <c r="M160" s="100" t="str">
        <f>IF(FacingSheet!$B$11=30,IF(ISERROR(((((H160*1440)-60)*60)-((((H160*1440)-60)^1.6))/1.2)/86400),"",((((H160*1440)-60)*60)-((((H160*1440)-60)^1.6))/1.2)/86400),"")</f>
        <v/>
      </c>
      <c r="N160" s="100" t="str">
        <f>IF(FacingSheet!$B$11=50,IF(ISERROR(((((H160*1440)-105)*60)-((((H160*1440)-105)^1.6))/2)/86400),"",((((H160*1440)-105)*60)-((((H160*1440)-105)^1.6))/2)/86400),"")</f>
        <v/>
      </c>
      <c r="O160" s="100" t="str">
        <f>IF(FacingSheet!$B$11=100,IF(ISERROR(((((H160*1440)-230)*60)-((((H160*1440)-230)^1.6))/4)/86400),"",((((H160*1440)-230)*60)-((((H160*1440)-230)^1.6))/4)/86400),"")</f>
        <v/>
      </c>
      <c r="P160" s="108" t="str">
        <f>IF(FacingSheet!$B$11=10,J160,IF(FacingSheet!$B$11=15,K160,IF(FacingSheet!$B$11=25,L160,IF(FacingSheet!$B$11=30,M160,IF(FacingSheet!$B$11=50,N160,IF(FacingSheet!$B$11=100,O160,""))))))</f>
        <v/>
      </c>
      <c r="Q160" s="65" t="str">
        <f>IF(OR(F160="V",F160="FV"),IF(I160="","",IF(MONTH(FacingSheet!$S$9)&gt;MONTH(I160),YEAR(FacingSheet!$S$9)-YEAR(I160),IF(AND(MONTH(FacingSheet!$S$9)=MONTH(I160),DAY(FacingSheet!$S$9)&gt;=DAY(I160)),YEAR(FacingSheet!$S$9)-YEAR(I160),(YEAR(FacingSheet!$S$9)-YEAR(I160))-1))),"")</f>
        <v/>
      </c>
      <c r="R160" s="108" t="str">
        <f>IF(Q160="","",IF(FacingSheet!$B$11=10,VLOOKUP(Q160,Age,2,FALSE),IF(FacingSheet!$B$11=15,VLOOKUP(Q160,Age,3,FALSE),IF(FacingSheet!$B$11=25,VLOOKUP(Q160,Age,4,FALSE),IF(FacingSheet!$B$11=30,VLOOKUP(Q160,Age,5,FALSE),IF(FacingSheet!$B$11=50,VLOOKUP(Q160,Age,6,FALSE),IF(FacingSheet!$B$11=100,VLOOKUP(Q160,Age,7,FALSE),"")))))))</f>
        <v/>
      </c>
      <c r="S160" s="108" t="str">
        <f>IF(Q160="","",IF(FacingSheet!$B$11=10,VLOOKUP(Q160,AgeF,2,FALSE),IF(FacingSheet!$B$11=15,VLOOKUP(Q160,AgeF,3,FALSE),IF(FacingSheet!$B$11=25,VLOOKUP(Q160,AgeF,4,FALSE),IF(FacingSheet!$B$11=30,VLOOKUP(Q160,AgeF,5,FALSE),IF(FacingSheet!$B$11=50,VLOOKUP(Q160,AgeF,6,FALSE),IF(FacingSheet!$B$11=100,VLOOKUP(Q160,AgeF,7,FALSE),"")))))))</f>
        <v/>
      </c>
      <c r="T160" s="108" t="str">
        <f t="shared" si="6"/>
        <v/>
      </c>
      <c r="X160" s="132"/>
      <c r="Y160" s="132"/>
      <c r="Z160" s="132"/>
    </row>
    <row r="161" spans="1:26">
      <c r="A161" s="36"/>
      <c r="B161" s="133"/>
      <c r="C161" s="133"/>
      <c r="D161" s="106" t="str">
        <f t="shared" si="5"/>
        <v xml:space="preserve"> </v>
      </c>
      <c r="E161" s="29"/>
      <c r="F161" s="29"/>
      <c r="G161" s="29"/>
      <c r="H161" s="193"/>
      <c r="I161" s="131"/>
      <c r="J161" s="100" t="str">
        <f>IF(FacingSheet!$B$11=10,IF(ISERROR(((((H161*1440)-20)*60)-(((H161*1440)-20)^1.6)*2.5)/86400),"",((((H161*1440)-20)*60)-(((H161*1440)-20)^1.6)*2.5)/86400),"")</f>
        <v/>
      </c>
      <c r="K161" s="100" t="str">
        <f>IF(FacingSheet!$B$11=15,IF(ISERROR(((((H161*1440)-33)*60)-(((H161*1440)-33)^1.6)*1.667)/86400),"",((((H161*1440)-33)*60)-(((H161*1440)-33)^1.6)*1.667)/86400),"")</f>
        <v/>
      </c>
      <c r="L161" s="100" t="str">
        <f>IF(FacingSheet!$B$11=25,IF(ISERROR(((((H161*1440)-50)*60)-(((H161*1440)-50)^1.6))/86400),"",((((H161*1440)-50)*60)-(((H161*1440)-50)^1.6))/86400),"")</f>
        <v/>
      </c>
      <c r="M161" s="100" t="str">
        <f>IF(FacingSheet!$B$11=30,IF(ISERROR(((((H161*1440)-60)*60)-((((H161*1440)-60)^1.6))/1.2)/86400),"",((((H161*1440)-60)*60)-((((H161*1440)-60)^1.6))/1.2)/86400),"")</f>
        <v/>
      </c>
      <c r="N161" s="100" t="str">
        <f>IF(FacingSheet!$B$11=50,IF(ISERROR(((((H161*1440)-105)*60)-((((H161*1440)-105)^1.6))/2)/86400),"",((((H161*1440)-105)*60)-((((H161*1440)-105)^1.6))/2)/86400),"")</f>
        <v/>
      </c>
      <c r="O161" s="100" t="str">
        <f>IF(FacingSheet!$B$11=100,IF(ISERROR(((((H161*1440)-230)*60)-((((H161*1440)-230)^1.6))/4)/86400),"",((((H161*1440)-230)*60)-((((H161*1440)-230)^1.6))/4)/86400),"")</f>
        <v/>
      </c>
      <c r="P161" s="108" t="str">
        <f>IF(FacingSheet!$B$11=10,J161,IF(FacingSheet!$B$11=15,K161,IF(FacingSheet!$B$11=25,L161,IF(FacingSheet!$B$11=30,M161,IF(FacingSheet!$B$11=50,N161,IF(FacingSheet!$B$11=100,O161,""))))))</f>
        <v/>
      </c>
      <c r="Q161" s="65" t="str">
        <f>IF(OR(F161="V",F161="FV"),IF(I161="","",IF(MONTH(FacingSheet!$S$9)&gt;MONTH(I161),YEAR(FacingSheet!$S$9)-YEAR(I161),IF(AND(MONTH(FacingSheet!$S$9)=MONTH(I161),DAY(FacingSheet!$S$9)&gt;=DAY(I161)),YEAR(FacingSheet!$S$9)-YEAR(I161),(YEAR(FacingSheet!$S$9)-YEAR(I161))-1))),"")</f>
        <v/>
      </c>
      <c r="R161" s="108" t="str">
        <f>IF(Q161="","",IF(FacingSheet!$B$11=10,VLOOKUP(Q161,Age,2,FALSE),IF(FacingSheet!$B$11=15,VLOOKUP(Q161,Age,3,FALSE),IF(FacingSheet!$B$11=25,VLOOKUP(Q161,Age,4,FALSE),IF(FacingSheet!$B$11=30,VLOOKUP(Q161,Age,5,FALSE),IF(FacingSheet!$B$11=50,VLOOKUP(Q161,Age,6,FALSE),IF(FacingSheet!$B$11=100,VLOOKUP(Q161,Age,7,FALSE),"")))))))</f>
        <v/>
      </c>
      <c r="S161" s="108" t="str">
        <f>IF(Q161="","",IF(FacingSheet!$B$11=10,VLOOKUP(Q161,AgeF,2,FALSE),IF(FacingSheet!$B$11=15,VLOOKUP(Q161,AgeF,3,FALSE),IF(FacingSheet!$B$11=25,VLOOKUP(Q161,AgeF,4,FALSE),IF(FacingSheet!$B$11=30,VLOOKUP(Q161,AgeF,5,FALSE),IF(FacingSheet!$B$11=50,VLOOKUP(Q161,AgeF,6,FALSE),IF(FacingSheet!$B$11=100,VLOOKUP(Q161,AgeF,7,FALSE),"")))))))</f>
        <v/>
      </c>
      <c r="T161" s="108" t="str">
        <f t="shared" si="6"/>
        <v/>
      </c>
      <c r="X161" s="132"/>
      <c r="Y161" s="132"/>
      <c r="Z161" s="132"/>
    </row>
    <row r="162" spans="1:26">
      <c r="A162" s="36"/>
      <c r="B162" s="133"/>
      <c r="C162" s="133"/>
      <c r="D162" s="106" t="str">
        <f t="shared" si="5"/>
        <v xml:space="preserve"> </v>
      </c>
      <c r="E162" s="29"/>
      <c r="F162" s="29"/>
      <c r="G162" s="29"/>
      <c r="H162" s="193"/>
      <c r="I162" s="131"/>
      <c r="J162" s="100" t="str">
        <f>IF(FacingSheet!$B$11=10,IF(ISERROR(((((H162*1440)-20)*60)-(((H162*1440)-20)^1.6)*2.5)/86400),"",((((H162*1440)-20)*60)-(((H162*1440)-20)^1.6)*2.5)/86400),"")</f>
        <v/>
      </c>
      <c r="K162" s="100" t="str">
        <f>IF(FacingSheet!$B$11=15,IF(ISERROR(((((H162*1440)-33)*60)-(((H162*1440)-33)^1.6)*1.667)/86400),"",((((H162*1440)-33)*60)-(((H162*1440)-33)^1.6)*1.667)/86400),"")</f>
        <v/>
      </c>
      <c r="L162" s="100" t="str">
        <f>IF(FacingSheet!$B$11=25,IF(ISERROR(((((H162*1440)-50)*60)-(((H162*1440)-50)^1.6))/86400),"",((((H162*1440)-50)*60)-(((H162*1440)-50)^1.6))/86400),"")</f>
        <v/>
      </c>
      <c r="M162" s="100" t="str">
        <f>IF(FacingSheet!$B$11=30,IF(ISERROR(((((H162*1440)-60)*60)-((((H162*1440)-60)^1.6))/1.2)/86400),"",((((H162*1440)-60)*60)-((((H162*1440)-60)^1.6))/1.2)/86400),"")</f>
        <v/>
      </c>
      <c r="N162" s="100" t="str">
        <f>IF(FacingSheet!$B$11=50,IF(ISERROR(((((H162*1440)-105)*60)-((((H162*1440)-105)^1.6))/2)/86400),"",((((H162*1440)-105)*60)-((((H162*1440)-105)^1.6))/2)/86400),"")</f>
        <v/>
      </c>
      <c r="O162" s="100" t="str">
        <f>IF(FacingSheet!$B$11=100,IF(ISERROR(((((H162*1440)-230)*60)-((((H162*1440)-230)^1.6))/4)/86400),"",((((H162*1440)-230)*60)-((((H162*1440)-230)^1.6))/4)/86400),"")</f>
        <v/>
      </c>
      <c r="P162" s="108" t="str">
        <f>IF(FacingSheet!$B$11=10,J162,IF(FacingSheet!$B$11=15,K162,IF(FacingSheet!$B$11=25,L162,IF(FacingSheet!$B$11=30,M162,IF(FacingSheet!$B$11=50,N162,IF(FacingSheet!$B$11=100,O162,""))))))</f>
        <v/>
      </c>
      <c r="Q162" s="65" t="str">
        <f>IF(OR(F162="V",F162="FV"),IF(I162="","",IF(MONTH(FacingSheet!$S$9)&gt;MONTH(I162),YEAR(FacingSheet!$S$9)-YEAR(I162),IF(AND(MONTH(FacingSheet!$S$9)=MONTH(I162),DAY(FacingSheet!$S$9)&gt;=DAY(I162)),YEAR(FacingSheet!$S$9)-YEAR(I162),(YEAR(FacingSheet!$S$9)-YEAR(I162))-1))),"")</f>
        <v/>
      </c>
      <c r="R162" s="108" t="str">
        <f>IF(Q162="","",IF(FacingSheet!$B$11=10,VLOOKUP(Q162,Age,2,FALSE),IF(FacingSheet!$B$11=15,VLOOKUP(Q162,Age,3,FALSE),IF(FacingSheet!$B$11=25,VLOOKUP(Q162,Age,4,FALSE),IF(FacingSheet!$B$11=30,VLOOKUP(Q162,Age,5,FALSE),IF(FacingSheet!$B$11=50,VLOOKUP(Q162,Age,6,FALSE),IF(FacingSheet!$B$11=100,VLOOKUP(Q162,Age,7,FALSE),"")))))))</f>
        <v/>
      </c>
      <c r="S162" s="108" t="str">
        <f>IF(Q162="","",IF(FacingSheet!$B$11=10,VLOOKUP(Q162,AgeF,2,FALSE),IF(FacingSheet!$B$11=15,VLOOKUP(Q162,AgeF,3,FALSE),IF(FacingSheet!$B$11=25,VLOOKUP(Q162,AgeF,4,FALSE),IF(FacingSheet!$B$11=30,VLOOKUP(Q162,AgeF,5,FALSE),IF(FacingSheet!$B$11=50,VLOOKUP(Q162,AgeF,6,FALSE),IF(FacingSheet!$B$11=100,VLOOKUP(Q162,AgeF,7,FALSE),"")))))))</f>
        <v/>
      </c>
      <c r="T162" s="108" t="str">
        <f t="shared" si="6"/>
        <v/>
      </c>
      <c r="X162" s="132"/>
      <c r="Y162" s="132"/>
      <c r="Z162" s="132"/>
    </row>
    <row r="163" spans="1:26">
      <c r="A163" s="36"/>
      <c r="B163" s="133"/>
      <c r="C163" s="133"/>
      <c r="D163" s="106" t="str">
        <f t="shared" si="5"/>
        <v xml:space="preserve"> </v>
      </c>
      <c r="E163" s="29"/>
      <c r="F163" s="29"/>
      <c r="G163" s="29"/>
      <c r="H163" s="193"/>
      <c r="I163" s="131"/>
      <c r="J163" s="100" t="str">
        <f>IF(FacingSheet!$B$11=10,IF(ISERROR(((((H163*1440)-20)*60)-(((H163*1440)-20)^1.6)*2.5)/86400),"",((((H163*1440)-20)*60)-(((H163*1440)-20)^1.6)*2.5)/86400),"")</f>
        <v/>
      </c>
      <c r="K163" s="100" t="str">
        <f>IF(FacingSheet!$B$11=15,IF(ISERROR(((((H163*1440)-33)*60)-(((H163*1440)-33)^1.6)*1.667)/86400),"",((((H163*1440)-33)*60)-(((H163*1440)-33)^1.6)*1.667)/86400),"")</f>
        <v/>
      </c>
      <c r="L163" s="100" t="str">
        <f>IF(FacingSheet!$B$11=25,IF(ISERROR(((((H163*1440)-50)*60)-(((H163*1440)-50)^1.6))/86400),"",((((H163*1440)-50)*60)-(((H163*1440)-50)^1.6))/86400),"")</f>
        <v/>
      </c>
      <c r="M163" s="100" t="str">
        <f>IF(FacingSheet!$B$11=30,IF(ISERROR(((((H163*1440)-60)*60)-((((H163*1440)-60)^1.6))/1.2)/86400),"",((((H163*1440)-60)*60)-((((H163*1440)-60)^1.6))/1.2)/86400),"")</f>
        <v/>
      </c>
      <c r="N163" s="100" t="str">
        <f>IF(FacingSheet!$B$11=50,IF(ISERROR(((((H163*1440)-105)*60)-((((H163*1440)-105)^1.6))/2)/86400),"",((((H163*1440)-105)*60)-((((H163*1440)-105)^1.6))/2)/86400),"")</f>
        <v/>
      </c>
      <c r="O163" s="100" t="str">
        <f>IF(FacingSheet!$B$11=100,IF(ISERROR(((((H163*1440)-230)*60)-((((H163*1440)-230)^1.6))/4)/86400),"",((((H163*1440)-230)*60)-((((H163*1440)-230)^1.6))/4)/86400),"")</f>
        <v/>
      </c>
      <c r="P163" s="108" t="str">
        <f>IF(FacingSheet!$B$11=10,J163,IF(FacingSheet!$B$11=15,K163,IF(FacingSheet!$B$11=25,L163,IF(FacingSheet!$B$11=30,M163,IF(FacingSheet!$B$11=50,N163,IF(FacingSheet!$B$11=100,O163,""))))))</f>
        <v/>
      </c>
      <c r="Q163" s="65" t="str">
        <f>IF(OR(F163="V",F163="FV"),IF(I163="","",IF(MONTH(FacingSheet!$S$9)&gt;MONTH(I163),YEAR(FacingSheet!$S$9)-YEAR(I163),IF(AND(MONTH(FacingSheet!$S$9)=MONTH(I163),DAY(FacingSheet!$S$9)&gt;=DAY(I163)),YEAR(FacingSheet!$S$9)-YEAR(I163),(YEAR(FacingSheet!$S$9)-YEAR(I163))-1))),"")</f>
        <v/>
      </c>
      <c r="R163" s="108" t="str">
        <f>IF(Q163="","",IF(FacingSheet!$B$11=10,VLOOKUP(Q163,Age,2,FALSE),IF(FacingSheet!$B$11=15,VLOOKUP(Q163,Age,3,FALSE),IF(FacingSheet!$B$11=25,VLOOKUP(Q163,Age,4,FALSE),IF(FacingSheet!$B$11=30,VLOOKUP(Q163,Age,5,FALSE),IF(FacingSheet!$B$11=50,VLOOKUP(Q163,Age,6,FALSE),IF(FacingSheet!$B$11=100,VLOOKUP(Q163,Age,7,FALSE),"")))))))</f>
        <v/>
      </c>
      <c r="S163" s="108" t="str">
        <f>IF(Q163="","",IF(FacingSheet!$B$11=10,VLOOKUP(Q163,AgeF,2,FALSE),IF(FacingSheet!$B$11=15,VLOOKUP(Q163,AgeF,3,FALSE),IF(FacingSheet!$B$11=25,VLOOKUP(Q163,AgeF,4,FALSE),IF(FacingSheet!$B$11=30,VLOOKUP(Q163,AgeF,5,FALSE),IF(FacingSheet!$B$11=50,VLOOKUP(Q163,AgeF,6,FALSE),IF(FacingSheet!$B$11=100,VLOOKUP(Q163,AgeF,7,FALSE),"")))))))</f>
        <v/>
      </c>
      <c r="T163" s="108" t="str">
        <f t="shared" si="6"/>
        <v/>
      </c>
      <c r="X163" s="132"/>
      <c r="Y163" s="132"/>
      <c r="Z163" s="132"/>
    </row>
    <row r="164" spans="1:26">
      <c r="A164" s="36"/>
      <c r="B164" s="133"/>
      <c r="C164" s="133"/>
      <c r="D164" s="106" t="str">
        <f t="shared" si="5"/>
        <v xml:space="preserve"> </v>
      </c>
      <c r="E164" s="29"/>
      <c r="F164" s="29"/>
      <c r="G164" s="29"/>
      <c r="H164" s="193"/>
      <c r="I164" s="131"/>
      <c r="J164" s="100" t="str">
        <f>IF(FacingSheet!$B$11=10,IF(ISERROR(((((H164*1440)-20)*60)-(((H164*1440)-20)^1.6)*2.5)/86400),"",((((H164*1440)-20)*60)-(((H164*1440)-20)^1.6)*2.5)/86400),"")</f>
        <v/>
      </c>
      <c r="K164" s="100" t="str">
        <f>IF(FacingSheet!$B$11=15,IF(ISERROR(((((H164*1440)-33)*60)-(((H164*1440)-33)^1.6)*1.667)/86400),"",((((H164*1440)-33)*60)-(((H164*1440)-33)^1.6)*1.667)/86400),"")</f>
        <v/>
      </c>
      <c r="L164" s="100" t="str">
        <f>IF(FacingSheet!$B$11=25,IF(ISERROR(((((H164*1440)-50)*60)-(((H164*1440)-50)^1.6))/86400),"",((((H164*1440)-50)*60)-(((H164*1440)-50)^1.6))/86400),"")</f>
        <v/>
      </c>
      <c r="M164" s="100" t="str">
        <f>IF(FacingSheet!$B$11=30,IF(ISERROR(((((H164*1440)-60)*60)-((((H164*1440)-60)^1.6))/1.2)/86400),"",((((H164*1440)-60)*60)-((((H164*1440)-60)^1.6))/1.2)/86400),"")</f>
        <v/>
      </c>
      <c r="N164" s="100" t="str">
        <f>IF(FacingSheet!$B$11=50,IF(ISERROR(((((H164*1440)-105)*60)-((((H164*1440)-105)^1.6))/2)/86400),"",((((H164*1440)-105)*60)-((((H164*1440)-105)^1.6))/2)/86400),"")</f>
        <v/>
      </c>
      <c r="O164" s="100" t="str">
        <f>IF(FacingSheet!$B$11=100,IF(ISERROR(((((H164*1440)-230)*60)-((((H164*1440)-230)^1.6))/4)/86400),"",((((H164*1440)-230)*60)-((((H164*1440)-230)^1.6))/4)/86400),"")</f>
        <v/>
      </c>
      <c r="P164" s="108" t="str">
        <f>IF(FacingSheet!$B$11=10,J164,IF(FacingSheet!$B$11=15,K164,IF(FacingSheet!$B$11=25,L164,IF(FacingSheet!$B$11=30,M164,IF(FacingSheet!$B$11=50,N164,IF(FacingSheet!$B$11=100,O164,""))))))</f>
        <v/>
      </c>
      <c r="Q164" s="65" t="str">
        <f>IF(OR(F164="V",F164="FV"),IF(I164="","",IF(MONTH(FacingSheet!$S$9)&gt;MONTH(I164),YEAR(FacingSheet!$S$9)-YEAR(I164),IF(AND(MONTH(FacingSheet!$S$9)=MONTH(I164),DAY(FacingSheet!$S$9)&gt;=DAY(I164)),YEAR(FacingSheet!$S$9)-YEAR(I164),(YEAR(FacingSheet!$S$9)-YEAR(I164))-1))),"")</f>
        <v/>
      </c>
      <c r="R164" s="108" t="str">
        <f>IF(Q164="","",IF(FacingSheet!$B$11=10,VLOOKUP(Q164,Age,2,FALSE),IF(FacingSheet!$B$11=15,VLOOKUP(Q164,Age,3,FALSE),IF(FacingSheet!$B$11=25,VLOOKUP(Q164,Age,4,FALSE),IF(FacingSheet!$B$11=30,VLOOKUP(Q164,Age,5,FALSE),IF(FacingSheet!$B$11=50,VLOOKUP(Q164,Age,6,FALSE),IF(FacingSheet!$B$11=100,VLOOKUP(Q164,Age,7,FALSE),"")))))))</f>
        <v/>
      </c>
      <c r="S164" s="108" t="str">
        <f>IF(Q164="","",IF(FacingSheet!$B$11=10,VLOOKUP(Q164,AgeF,2,FALSE),IF(FacingSheet!$B$11=15,VLOOKUP(Q164,AgeF,3,FALSE),IF(FacingSheet!$B$11=25,VLOOKUP(Q164,AgeF,4,FALSE),IF(FacingSheet!$B$11=30,VLOOKUP(Q164,AgeF,5,FALSE),IF(FacingSheet!$B$11=50,VLOOKUP(Q164,AgeF,6,FALSE),IF(FacingSheet!$B$11=100,VLOOKUP(Q164,AgeF,7,FALSE),"")))))))</f>
        <v/>
      </c>
      <c r="T164" s="108" t="str">
        <f t="shared" si="6"/>
        <v/>
      </c>
      <c r="X164" s="132"/>
      <c r="Y164" s="132"/>
      <c r="Z164" s="132"/>
    </row>
    <row r="165" spans="1:26">
      <c r="A165" s="36"/>
      <c r="B165" s="133"/>
      <c r="C165" s="133"/>
      <c r="D165" s="106" t="str">
        <f t="shared" si="5"/>
        <v xml:space="preserve"> </v>
      </c>
      <c r="E165" s="29"/>
      <c r="F165" s="29"/>
      <c r="G165" s="29"/>
      <c r="H165" s="193"/>
      <c r="I165" s="131"/>
      <c r="J165" s="100" t="str">
        <f>IF(FacingSheet!$B$11=10,IF(ISERROR(((((H165*1440)-20)*60)-(((H165*1440)-20)^1.6)*2.5)/86400),"",((((H165*1440)-20)*60)-(((H165*1440)-20)^1.6)*2.5)/86400),"")</f>
        <v/>
      </c>
      <c r="K165" s="100" t="str">
        <f>IF(FacingSheet!$B$11=15,IF(ISERROR(((((H165*1440)-33)*60)-(((H165*1440)-33)^1.6)*1.667)/86400),"",((((H165*1440)-33)*60)-(((H165*1440)-33)^1.6)*1.667)/86400),"")</f>
        <v/>
      </c>
      <c r="L165" s="100" t="str">
        <f>IF(FacingSheet!$B$11=25,IF(ISERROR(((((H165*1440)-50)*60)-(((H165*1440)-50)^1.6))/86400),"",((((H165*1440)-50)*60)-(((H165*1440)-50)^1.6))/86400),"")</f>
        <v/>
      </c>
      <c r="M165" s="100" t="str">
        <f>IF(FacingSheet!$B$11=30,IF(ISERROR(((((H165*1440)-60)*60)-((((H165*1440)-60)^1.6))/1.2)/86400),"",((((H165*1440)-60)*60)-((((H165*1440)-60)^1.6))/1.2)/86400),"")</f>
        <v/>
      </c>
      <c r="N165" s="100" t="str">
        <f>IF(FacingSheet!$B$11=50,IF(ISERROR(((((H165*1440)-105)*60)-((((H165*1440)-105)^1.6))/2)/86400),"",((((H165*1440)-105)*60)-((((H165*1440)-105)^1.6))/2)/86400),"")</f>
        <v/>
      </c>
      <c r="O165" s="100" t="str">
        <f>IF(FacingSheet!$B$11=100,IF(ISERROR(((((H165*1440)-230)*60)-((((H165*1440)-230)^1.6))/4)/86400),"",((((H165*1440)-230)*60)-((((H165*1440)-230)^1.6))/4)/86400),"")</f>
        <v/>
      </c>
      <c r="P165" s="108" t="str">
        <f>IF(FacingSheet!$B$11=10,J165,IF(FacingSheet!$B$11=15,K165,IF(FacingSheet!$B$11=25,L165,IF(FacingSheet!$B$11=30,M165,IF(FacingSheet!$B$11=50,N165,IF(FacingSheet!$B$11=100,O165,""))))))</f>
        <v/>
      </c>
      <c r="Q165" s="65" t="str">
        <f>IF(OR(F165="V",F165="FV"),IF(I165="","",IF(MONTH(FacingSheet!$S$9)&gt;MONTH(I165),YEAR(FacingSheet!$S$9)-YEAR(I165),IF(AND(MONTH(FacingSheet!$S$9)=MONTH(I165),DAY(FacingSheet!$S$9)&gt;=DAY(I165)),YEAR(FacingSheet!$S$9)-YEAR(I165),(YEAR(FacingSheet!$S$9)-YEAR(I165))-1))),"")</f>
        <v/>
      </c>
      <c r="R165" s="108" t="str">
        <f>IF(Q165="","",IF(FacingSheet!$B$11=10,VLOOKUP(Q165,Age,2,FALSE),IF(FacingSheet!$B$11=15,VLOOKUP(Q165,Age,3,FALSE),IF(FacingSheet!$B$11=25,VLOOKUP(Q165,Age,4,FALSE),IF(FacingSheet!$B$11=30,VLOOKUP(Q165,Age,5,FALSE),IF(FacingSheet!$B$11=50,VLOOKUP(Q165,Age,6,FALSE),IF(FacingSheet!$B$11=100,VLOOKUP(Q165,Age,7,FALSE),"")))))))</f>
        <v/>
      </c>
      <c r="S165" s="108" t="str">
        <f>IF(Q165="","",IF(FacingSheet!$B$11=10,VLOOKUP(Q165,AgeF,2,FALSE),IF(FacingSheet!$B$11=15,VLOOKUP(Q165,AgeF,3,FALSE),IF(FacingSheet!$B$11=25,VLOOKUP(Q165,AgeF,4,FALSE),IF(FacingSheet!$B$11=30,VLOOKUP(Q165,AgeF,5,FALSE),IF(FacingSheet!$B$11=50,VLOOKUP(Q165,AgeF,6,FALSE),IF(FacingSheet!$B$11=100,VLOOKUP(Q165,AgeF,7,FALSE),"")))))))</f>
        <v/>
      </c>
      <c r="T165" s="108" t="str">
        <f t="shared" si="6"/>
        <v/>
      </c>
      <c r="X165" s="132"/>
      <c r="Y165" s="132"/>
      <c r="Z165" s="132"/>
    </row>
    <row r="166" spans="1:26">
      <c r="A166" s="36"/>
      <c r="B166" s="133"/>
      <c r="C166" s="133"/>
      <c r="D166" s="106" t="str">
        <f t="shared" si="5"/>
        <v xml:space="preserve"> </v>
      </c>
      <c r="E166" s="29"/>
      <c r="F166" s="29"/>
      <c r="G166" s="29"/>
      <c r="H166" s="193"/>
      <c r="I166" s="131"/>
      <c r="J166" s="100" t="str">
        <f>IF(FacingSheet!$B$11=10,IF(ISERROR(((((H166*1440)-20)*60)-(((H166*1440)-20)^1.6)*2.5)/86400),"",((((H166*1440)-20)*60)-(((H166*1440)-20)^1.6)*2.5)/86400),"")</f>
        <v/>
      </c>
      <c r="K166" s="100" t="str">
        <f>IF(FacingSheet!$B$11=15,IF(ISERROR(((((H166*1440)-33)*60)-(((H166*1440)-33)^1.6)*1.667)/86400),"",((((H166*1440)-33)*60)-(((H166*1440)-33)^1.6)*1.667)/86400),"")</f>
        <v/>
      </c>
      <c r="L166" s="100" t="str">
        <f>IF(FacingSheet!$B$11=25,IF(ISERROR(((((H166*1440)-50)*60)-(((H166*1440)-50)^1.6))/86400),"",((((H166*1440)-50)*60)-(((H166*1440)-50)^1.6))/86400),"")</f>
        <v/>
      </c>
      <c r="M166" s="100" t="str">
        <f>IF(FacingSheet!$B$11=30,IF(ISERROR(((((H166*1440)-60)*60)-((((H166*1440)-60)^1.6))/1.2)/86400),"",((((H166*1440)-60)*60)-((((H166*1440)-60)^1.6))/1.2)/86400),"")</f>
        <v/>
      </c>
      <c r="N166" s="100" t="str">
        <f>IF(FacingSheet!$B$11=50,IF(ISERROR(((((H166*1440)-105)*60)-((((H166*1440)-105)^1.6))/2)/86400),"",((((H166*1440)-105)*60)-((((H166*1440)-105)^1.6))/2)/86400),"")</f>
        <v/>
      </c>
      <c r="O166" s="100" t="str">
        <f>IF(FacingSheet!$B$11=100,IF(ISERROR(((((H166*1440)-230)*60)-((((H166*1440)-230)^1.6))/4)/86400),"",((((H166*1440)-230)*60)-((((H166*1440)-230)^1.6))/4)/86400),"")</f>
        <v/>
      </c>
      <c r="P166" s="108" t="str">
        <f>IF(FacingSheet!$B$11=10,J166,IF(FacingSheet!$B$11=15,K166,IF(FacingSheet!$B$11=25,L166,IF(FacingSheet!$B$11=30,M166,IF(FacingSheet!$B$11=50,N166,IF(FacingSheet!$B$11=100,O166,""))))))</f>
        <v/>
      </c>
      <c r="Q166" s="65" t="str">
        <f>IF(OR(F166="V",F166="FV"),IF(I166="","",IF(MONTH(FacingSheet!$S$9)&gt;MONTH(I166),YEAR(FacingSheet!$S$9)-YEAR(I166),IF(AND(MONTH(FacingSheet!$S$9)=MONTH(I166),DAY(FacingSheet!$S$9)&gt;=DAY(I166)),YEAR(FacingSheet!$S$9)-YEAR(I166),(YEAR(FacingSheet!$S$9)-YEAR(I166))-1))),"")</f>
        <v/>
      </c>
      <c r="R166" s="108" t="str">
        <f>IF(Q166="","",IF(FacingSheet!$B$11=10,VLOOKUP(Q166,Age,2,FALSE),IF(FacingSheet!$B$11=15,VLOOKUP(Q166,Age,3,FALSE),IF(FacingSheet!$B$11=25,VLOOKUP(Q166,Age,4,FALSE),IF(FacingSheet!$B$11=30,VLOOKUP(Q166,Age,5,FALSE),IF(FacingSheet!$B$11=50,VLOOKUP(Q166,Age,6,FALSE),IF(FacingSheet!$B$11=100,VLOOKUP(Q166,Age,7,FALSE),"")))))))</f>
        <v/>
      </c>
      <c r="S166" s="108" t="str">
        <f>IF(Q166="","",IF(FacingSheet!$B$11=10,VLOOKUP(Q166,AgeF,2,FALSE),IF(FacingSheet!$B$11=15,VLOOKUP(Q166,AgeF,3,FALSE),IF(FacingSheet!$B$11=25,VLOOKUP(Q166,AgeF,4,FALSE),IF(FacingSheet!$B$11=30,VLOOKUP(Q166,AgeF,5,FALSE),IF(FacingSheet!$B$11=50,VLOOKUP(Q166,AgeF,6,FALSE),IF(FacingSheet!$B$11=100,VLOOKUP(Q166,AgeF,7,FALSE),"")))))))</f>
        <v/>
      </c>
      <c r="T166" s="108" t="str">
        <f t="shared" si="6"/>
        <v/>
      </c>
      <c r="X166" s="132"/>
      <c r="Y166" s="132"/>
      <c r="Z166" s="132"/>
    </row>
    <row r="167" spans="1:26">
      <c r="A167" s="36"/>
      <c r="B167" s="133"/>
      <c r="C167" s="133"/>
      <c r="D167" s="106" t="str">
        <f t="shared" si="5"/>
        <v xml:space="preserve"> </v>
      </c>
      <c r="E167" s="29"/>
      <c r="F167" s="29"/>
      <c r="G167" s="29"/>
      <c r="H167" s="193"/>
      <c r="I167" s="131"/>
      <c r="J167" s="100" t="str">
        <f>IF(FacingSheet!$B$11=10,IF(ISERROR(((((H167*1440)-20)*60)-(((H167*1440)-20)^1.6)*2.5)/86400),"",((((H167*1440)-20)*60)-(((H167*1440)-20)^1.6)*2.5)/86400),"")</f>
        <v/>
      </c>
      <c r="K167" s="100" t="str">
        <f>IF(FacingSheet!$B$11=15,IF(ISERROR(((((H167*1440)-33)*60)-(((H167*1440)-33)^1.6)*1.667)/86400),"",((((H167*1440)-33)*60)-(((H167*1440)-33)^1.6)*1.667)/86400),"")</f>
        <v/>
      </c>
      <c r="L167" s="100" t="str">
        <f>IF(FacingSheet!$B$11=25,IF(ISERROR(((((H167*1440)-50)*60)-(((H167*1440)-50)^1.6))/86400),"",((((H167*1440)-50)*60)-(((H167*1440)-50)^1.6))/86400),"")</f>
        <v/>
      </c>
      <c r="M167" s="100" t="str">
        <f>IF(FacingSheet!$B$11=30,IF(ISERROR(((((H167*1440)-60)*60)-((((H167*1440)-60)^1.6))/1.2)/86400),"",((((H167*1440)-60)*60)-((((H167*1440)-60)^1.6))/1.2)/86400),"")</f>
        <v/>
      </c>
      <c r="N167" s="100" t="str">
        <f>IF(FacingSheet!$B$11=50,IF(ISERROR(((((H167*1440)-105)*60)-((((H167*1440)-105)^1.6))/2)/86400),"",((((H167*1440)-105)*60)-((((H167*1440)-105)^1.6))/2)/86400),"")</f>
        <v/>
      </c>
      <c r="O167" s="100" t="str">
        <f>IF(FacingSheet!$B$11=100,IF(ISERROR(((((H167*1440)-230)*60)-((((H167*1440)-230)^1.6))/4)/86400),"",((((H167*1440)-230)*60)-((((H167*1440)-230)^1.6))/4)/86400),"")</f>
        <v/>
      </c>
      <c r="P167" s="108" t="str">
        <f>IF(FacingSheet!$B$11=10,J167,IF(FacingSheet!$B$11=15,K167,IF(FacingSheet!$B$11=25,L167,IF(FacingSheet!$B$11=30,M167,IF(FacingSheet!$B$11=50,N167,IF(FacingSheet!$B$11=100,O167,""))))))</f>
        <v/>
      </c>
      <c r="Q167" s="65" t="str">
        <f>IF(OR(F167="V",F167="FV"),IF(I167="","",IF(MONTH(FacingSheet!$S$9)&gt;MONTH(I167),YEAR(FacingSheet!$S$9)-YEAR(I167),IF(AND(MONTH(FacingSheet!$S$9)=MONTH(I167),DAY(FacingSheet!$S$9)&gt;=DAY(I167)),YEAR(FacingSheet!$S$9)-YEAR(I167),(YEAR(FacingSheet!$S$9)-YEAR(I167))-1))),"")</f>
        <v/>
      </c>
      <c r="R167" s="108" t="str">
        <f>IF(Q167="","",IF(FacingSheet!$B$11=10,VLOOKUP(Q167,Age,2,FALSE),IF(FacingSheet!$B$11=15,VLOOKUP(Q167,Age,3,FALSE),IF(FacingSheet!$B$11=25,VLOOKUP(Q167,Age,4,FALSE),IF(FacingSheet!$B$11=30,VLOOKUP(Q167,Age,5,FALSE),IF(FacingSheet!$B$11=50,VLOOKUP(Q167,Age,6,FALSE),IF(FacingSheet!$B$11=100,VLOOKUP(Q167,Age,7,FALSE),"")))))))</f>
        <v/>
      </c>
      <c r="S167" s="108" t="str">
        <f>IF(Q167="","",IF(FacingSheet!$B$11=10,VLOOKUP(Q167,AgeF,2,FALSE),IF(FacingSheet!$B$11=15,VLOOKUP(Q167,AgeF,3,FALSE),IF(FacingSheet!$B$11=25,VLOOKUP(Q167,AgeF,4,FALSE),IF(FacingSheet!$B$11=30,VLOOKUP(Q167,AgeF,5,FALSE),IF(FacingSheet!$B$11=50,VLOOKUP(Q167,AgeF,6,FALSE),IF(FacingSheet!$B$11=100,VLOOKUP(Q167,AgeF,7,FALSE),"")))))))</f>
        <v/>
      </c>
      <c r="T167" s="108" t="str">
        <f t="shared" si="6"/>
        <v/>
      </c>
      <c r="X167" s="132"/>
      <c r="Y167" s="132"/>
      <c r="Z167" s="132"/>
    </row>
    <row r="168" spans="1:26">
      <c r="A168" s="36"/>
      <c r="B168" s="133"/>
      <c r="C168" s="133"/>
      <c r="D168" s="106" t="str">
        <f t="shared" si="5"/>
        <v xml:space="preserve"> </v>
      </c>
      <c r="E168" s="29"/>
      <c r="F168" s="29"/>
      <c r="G168" s="29"/>
      <c r="H168" s="193"/>
      <c r="I168" s="131"/>
      <c r="J168" s="100" t="str">
        <f>IF(FacingSheet!$B$11=10,IF(ISERROR(((((H168*1440)-20)*60)-(((H168*1440)-20)^1.6)*2.5)/86400),"",((((H168*1440)-20)*60)-(((H168*1440)-20)^1.6)*2.5)/86400),"")</f>
        <v/>
      </c>
      <c r="K168" s="100" t="str">
        <f>IF(FacingSheet!$B$11=15,IF(ISERROR(((((H168*1440)-33)*60)-(((H168*1440)-33)^1.6)*1.667)/86400),"",((((H168*1440)-33)*60)-(((H168*1440)-33)^1.6)*1.667)/86400),"")</f>
        <v/>
      </c>
      <c r="L168" s="100" t="str">
        <f>IF(FacingSheet!$B$11=25,IF(ISERROR(((((H168*1440)-50)*60)-(((H168*1440)-50)^1.6))/86400),"",((((H168*1440)-50)*60)-(((H168*1440)-50)^1.6))/86400),"")</f>
        <v/>
      </c>
      <c r="M168" s="100" t="str">
        <f>IF(FacingSheet!$B$11=30,IF(ISERROR(((((H168*1440)-60)*60)-((((H168*1440)-60)^1.6))/1.2)/86400),"",((((H168*1440)-60)*60)-((((H168*1440)-60)^1.6))/1.2)/86400),"")</f>
        <v/>
      </c>
      <c r="N168" s="100" t="str">
        <f>IF(FacingSheet!$B$11=50,IF(ISERROR(((((H168*1440)-105)*60)-((((H168*1440)-105)^1.6))/2)/86400),"",((((H168*1440)-105)*60)-((((H168*1440)-105)^1.6))/2)/86400),"")</f>
        <v/>
      </c>
      <c r="O168" s="100" t="str">
        <f>IF(FacingSheet!$B$11=100,IF(ISERROR(((((H168*1440)-230)*60)-((((H168*1440)-230)^1.6))/4)/86400),"",((((H168*1440)-230)*60)-((((H168*1440)-230)^1.6))/4)/86400),"")</f>
        <v/>
      </c>
      <c r="P168" s="108" t="str">
        <f>IF(FacingSheet!$B$11=10,J168,IF(FacingSheet!$B$11=15,K168,IF(FacingSheet!$B$11=25,L168,IF(FacingSheet!$B$11=30,M168,IF(FacingSheet!$B$11=50,N168,IF(FacingSheet!$B$11=100,O168,""))))))</f>
        <v/>
      </c>
      <c r="Q168" s="65" t="str">
        <f>IF(OR(F168="V",F168="FV"),IF(I168="","",IF(MONTH(FacingSheet!$S$9)&gt;MONTH(I168),YEAR(FacingSheet!$S$9)-YEAR(I168),IF(AND(MONTH(FacingSheet!$S$9)=MONTH(I168),DAY(FacingSheet!$S$9)&gt;=DAY(I168)),YEAR(FacingSheet!$S$9)-YEAR(I168),(YEAR(FacingSheet!$S$9)-YEAR(I168))-1))),"")</f>
        <v/>
      </c>
      <c r="R168" s="108" t="str">
        <f>IF(Q168="","",IF(FacingSheet!$B$11=10,VLOOKUP(Q168,Age,2,FALSE),IF(FacingSheet!$B$11=15,VLOOKUP(Q168,Age,3,FALSE),IF(FacingSheet!$B$11=25,VLOOKUP(Q168,Age,4,FALSE),IF(FacingSheet!$B$11=30,VLOOKUP(Q168,Age,5,FALSE),IF(FacingSheet!$B$11=50,VLOOKUP(Q168,Age,6,FALSE),IF(FacingSheet!$B$11=100,VLOOKUP(Q168,Age,7,FALSE),"")))))))</f>
        <v/>
      </c>
      <c r="S168" s="108" t="str">
        <f>IF(Q168="","",IF(FacingSheet!$B$11=10,VLOOKUP(Q168,AgeF,2,FALSE),IF(FacingSheet!$B$11=15,VLOOKUP(Q168,AgeF,3,FALSE),IF(FacingSheet!$B$11=25,VLOOKUP(Q168,AgeF,4,FALSE),IF(FacingSheet!$B$11=30,VLOOKUP(Q168,AgeF,5,FALSE),IF(FacingSheet!$B$11=50,VLOOKUP(Q168,AgeF,6,FALSE),IF(FacingSheet!$B$11=100,VLOOKUP(Q168,AgeF,7,FALSE),"")))))))</f>
        <v/>
      </c>
      <c r="T168" s="108" t="str">
        <f t="shared" si="6"/>
        <v/>
      </c>
      <c r="X168" s="132"/>
      <c r="Y168" s="132"/>
      <c r="Z168" s="132"/>
    </row>
    <row r="169" spans="1:26">
      <c r="A169" s="36"/>
      <c r="B169" s="133"/>
      <c r="C169" s="133"/>
      <c r="D169" s="106" t="str">
        <f t="shared" si="5"/>
        <v xml:space="preserve"> </v>
      </c>
      <c r="E169" s="29"/>
      <c r="F169" s="29"/>
      <c r="G169" s="29"/>
      <c r="H169" s="193"/>
      <c r="I169" s="131"/>
      <c r="J169" s="100" t="str">
        <f>IF(FacingSheet!$B$11=10,IF(ISERROR(((((H169*1440)-20)*60)-(((H169*1440)-20)^1.6)*2.5)/86400),"",((((H169*1440)-20)*60)-(((H169*1440)-20)^1.6)*2.5)/86400),"")</f>
        <v/>
      </c>
      <c r="K169" s="100" t="str">
        <f>IF(FacingSheet!$B$11=15,IF(ISERROR(((((H169*1440)-33)*60)-(((H169*1440)-33)^1.6)*1.667)/86400),"",((((H169*1440)-33)*60)-(((H169*1440)-33)^1.6)*1.667)/86400),"")</f>
        <v/>
      </c>
      <c r="L169" s="100" t="str">
        <f>IF(FacingSheet!$B$11=25,IF(ISERROR(((((H169*1440)-50)*60)-(((H169*1440)-50)^1.6))/86400),"",((((H169*1440)-50)*60)-(((H169*1440)-50)^1.6))/86400),"")</f>
        <v/>
      </c>
      <c r="M169" s="100" t="str">
        <f>IF(FacingSheet!$B$11=30,IF(ISERROR(((((H169*1440)-60)*60)-((((H169*1440)-60)^1.6))/1.2)/86400),"",((((H169*1440)-60)*60)-((((H169*1440)-60)^1.6))/1.2)/86400),"")</f>
        <v/>
      </c>
      <c r="N169" s="100" t="str">
        <f>IF(FacingSheet!$B$11=50,IF(ISERROR(((((H169*1440)-105)*60)-((((H169*1440)-105)^1.6))/2)/86400),"",((((H169*1440)-105)*60)-((((H169*1440)-105)^1.6))/2)/86400),"")</f>
        <v/>
      </c>
      <c r="O169" s="100" t="str">
        <f>IF(FacingSheet!$B$11=100,IF(ISERROR(((((H169*1440)-230)*60)-((((H169*1440)-230)^1.6))/4)/86400),"",((((H169*1440)-230)*60)-((((H169*1440)-230)^1.6))/4)/86400),"")</f>
        <v/>
      </c>
      <c r="P169" s="108" t="str">
        <f>IF(FacingSheet!$B$11=10,J169,IF(FacingSheet!$B$11=15,K169,IF(FacingSheet!$B$11=25,L169,IF(FacingSheet!$B$11=30,M169,IF(FacingSheet!$B$11=50,N169,IF(FacingSheet!$B$11=100,O169,""))))))</f>
        <v/>
      </c>
      <c r="Q169" s="65" t="str">
        <f>IF(OR(F169="V",F169="FV"),IF(I169="","",IF(MONTH(FacingSheet!$S$9)&gt;MONTH(I169),YEAR(FacingSheet!$S$9)-YEAR(I169),IF(AND(MONTH(FacingSheet!$S$9)=MONTH(I169),DAY(FacingSheet!$S$9)&gt;=DAY(I169)),YEAR(FacingSheet!$S$9)-YEAR(I169),(YEAR(FacingSheet!$S$9)-YEAR(I169))-1))),"")</f>
        <v/>
      </c>
      <c r="R169" s="108" t="str">
        <f>IF(Q169="","",IF(FacingSheet!$B$11=10,VLOOKUP(Q169,Age,2,FALSE),IF(FacingSheet!$B$11=15,VLOOKUP(Q169,Age,3,FALSE),IF(FacingSheet!$B$11=25,VLOOKUP(Q169,Age,4,FALSE),IF(FacingSheet!$B$11=30,VLOOKUP(Q169,Age,5,FALSE),IF(FacingSheet!$B$11=50,VLOOKUP(Q169,Age,6,FALSE),IF(FacingSheet!$B$11=100,VLOOKUP(Q169,Age,7,FALSE),"")))))))</f>
        <v/>
      </c>
      <c r="S169" s="108" t="str">
        <f>IF(Q169="","",IF(FacingSheet!$B$11=10,VLOOKUP(Q169,AgeF,2,FALSE),IF(FacingSheet!$B$11=15,VLOOKUP(Q169,AgeF,3,FALSE),IF(FacingSheet!$B$11=25,VLOOKUP(Q169,AgeF,4,FALSE),IF(FacingSheet!$B$11=30,VLOOKUP(Q169,AgeF,5,FALSE),IF(FacingSheet!$B$11=50,VLOOKUP(Q169,AgeF,6,FALSE),IF(FacingSheet!$B$11=100,VLOOKUP(Q169,AgeF,7,FALSE),"")))))))</f>
        <v/>
      </c>
      <c r="T169" s="108" t="str">
        <f t="shared" si="6"/>
        <v/>
      </c>
      <c r="X169" s="132"/>
      <c r="Y169" s="132"/>
      <c r="Z169" s="132"/>
    </row>
    <row r="170" spans="1:26">
      <c r="A170" s="36"/>
      <c r="B170" s="133"/>
      <c r="C170" s="133"/>
      <c r="D170" s="106" t="str">
        <f t="shared" si="5"/>
        <v xml:space="preserve"> </v>
      </c>
      <c r="E170" s="29"/>
      <c r="F170" s="29"/>
      <c r="G170" s="29"/>
      <c r="H170" s="193"/>
      <c r="I170" s="131"/>
      <c r="J170" s="100" t="str">
        <f>IF(FacingSheet!$B$11=10,IF(ISERROR(((((H170*1440)-20)*60)-(((H170*1440)-20)^1.6)*2.5)/86400),"",((((H170*1440)-20)*60)-(((H170*1440)-20)^1.6)*2.5)/86400),"")</f>
        <v/>
      </c>
      <c r="K170" s="100" t="str">
        <f>IF(FacingSheet!$B$11=15,IF(ISERROR(((((H170*1440)-33)*60)-(((H170*1440)-33)^1.6)*1.667)/86400),"",((((H170*1440)-33)*60)-(((H170*1440)-33)^1.6)*1.667)/86400),"")</f>
        <v/>
      </c>
      <c r="L170" s="100" t="str">
        <f>IF(FacingSheet!$B$11=25,IF(ISERROR(((((H170*1440)-50)*60)-(((H170*1440)-50)^1.6))/86400),"",((((H170*1440)-50)*60)-(((H170*1440)-50)^1.6))/86400),"")</f>
        <v/>
      </c>
      <c r="M170" s="100" t="str">
        <f>IF(FacingSheet!$B$11=30,IF(ISERROR(((((H170*1440)-60)*60)-((((H170*1440)-60)^1.6))/1.2)/86400),"",((((H170*1440)-60)*60)-((((H170*1440)-60)^1.6))/1.2)/86400),"")</f>
        <v/>
      </c>
      <c r="N170" s="100" t="str">
        <f>IF(FacingSheet!$B$11=50,IF(ISERROR(((((H170*1440)-105)*60)-((((H170*1440)-105)^1.6))/2)/86400),"",((((H170*1440)-105)*60)-((((H170*1440)-105)^1.6))/2)/86400),"")</f>
        <v/>
      </c>
      <c r="O170" s="100" t="str">
        <f>IF(FacingSheet!$B$11=100,IF(ISERROR(((((H170*1440)-230)*60)-((((H170*1440)-230)^1.6))/4)/86400),"",((((H170*1440)-230)*60)-((((H170*1440)-230)^1.6))/4)/86400),"")</f>
        <v/>
      </c>
      <c r="P170" s="108" t="str">
        <f>IF(FacingSheet!$B$11=10,J170,IF(FacingSheet!$B$11=15,K170,IF(FacingSheet!$B$11=25,L170,IF(FacingSheet!$B$11=30,M170,IF(FacingSheet!$B$11=50,N170,IF(FacingSheet!$B$11=100,O170,""))))))</f>
        <v/>
      </c>
      <c r="Q170" s="65" t="str">
        <f>IF(OR(F170="V",F170="FV"),IF(I170="","",IF(MONTH(FacingSheet!$S$9)&gt;MONTH(I170),YEAR(FacingSheet!$S$9)-YEAR(I170),IF(AND(MONTH(FacingSheet!$S$9)=MONTH(I170),DAY(FacingSheet!$S$9)&gt;=DAY(I170)),YEAR(FacingSheet!$S$9)-YEAR(I170),(YEAR(FacingSheet!$S$9)-YEAR(I170))-1))),"")</f>
        <v/>
      </c>
      <c r="R170" s="108" t="str">
        <f>IF(Q170="","",IF(FacingSheet!$B$11=10,VLOOKUP(Q170,Age,2,FALSE),IF(FacingSheet!$B$11=15,VLOOKUP(Q170,Age,3,FALSE),IF(FacingSheet!$B$11=25,VLOOKUP(Q170,Age,4,FALSE),IF(FacingSheet!$B$11=30,VLOOKUP(Q170,Age,5,FALSE),IF(FacingSheet!$B$11=50,VLOOKUP(Q170,Age,6,FALSE),IF(FacingSheet!$B$11=100,VLOOKUP(Q170,Age,7,FALSE),"")))))))</f>
        <v/>
      </c>
      <c r="S170" s="108" t="str">
        <f>IF(Q170="","",IF(FacingSheet!$B$11=10,VLOOKUP(Q170,AgeF,2,FALSE),IF(FacingSheet!$B$11=15,VLOOKUP(Q170,AgeF,3,FALSE),IF(FacingSheet!$B$11=25,VLOOKUP(Q170,AgeF,4,FALSE),IF(FacingSheet!$B$11=30,VLOOKUP(Q170,AgeF,5,FALSE),IF(FacingSheet!$B$11=50,VLOOKUP(Q170,AgeF,6,FALSE),IF(FacingSheet!$B$11=100,VLOOKUP(Q170,AgeF,7,FALSE),"")))))))</f>
        <v/>
      </c>
      <c r="T170" s="108" t="str">
        <f t="shared" si="6"/>
        <v/>
      </c>
      <c r="X170" s="132"/>
      <c r="Y170" s="132"/>
      <c r="Z170" s="132"/>
    </row>
    <row r="171" spans="1:26">
      <c r="A171" s="36"/>
      <c r="B171" s="133"/>
      <c r="C171" s="133"/>
      <c r="D171" s="106" t="str">
        <f t="shared" si="5"/>
        <v xml:space="preserve"> </v>
      </c>
      <c r="E171" s="29"/>
      <c r="F171" s="29"/>
      <c r="G171" s="29"/>
      <c r="H171" s="193"/>
      <c r="I171" s="131"/>
      <c r="J171" s="100" t="str">
        <f>IF(FacingSheet!$B$11=10,IF(ISERROR(((((H171*1440)-20)*60)-(((H171*1440)-20)^1.6)*2.5)/86400),"",((((H171*1440)-20)*60)-(((H171*1440)-20)^1.6)*2.5)/86400),"")</f>
        <v/>
      </c>
      <c r="K171" s="100" t="str">
        <f>IF(FacingSheet!$B$11=15,IF(ISERROR(((((H171*1440)-33)*60)-(((H171*1440)-33)^1.6)*1.667)/86400),"",((((H171*1440)-33)*60)-(((H171*1440)-33)^1.6)*1.667)/86400),"")</f>
        <v/>
      </c>
      <c r="L171" s="131" t="str">
        <f>IF(FacingSheet!$B$11=25,IF(ISERROR(((((H171*1440)-50)*60)-(((H171*1440)-50)^1.6))/86400),"",((((H171*1440)-50)*60)-(((H171*1440)-50)^1.6))/86400),"")</f>
        <v/>
      </c>
      <c r="M171" s="131" t="str">
        <f>IF(FacingSheet!$B$11=30,IF(ISERROR(((((H171*1440)-60)*60)-((((H171*1440)-60)^1.6))/1.2)/86400),"",((((H171*1440)-60)*60)-((((H171*1440)-60)^1.6))/1.2)/86400),"")</f>
        <v/>
      </c>
      <c r="N171" s="131" t="str">
        <f>IF(FacingSheet!$B$11=50,IF(ISERROR(((((H171*1440)-105)*60)-((((H171*1440)-105)^1.6))/2)/86400),"",((((H171*1440)-105)*60)-((((H171*1440)-105)^1.6))/2)/86400),"")</f>
        <v/>
      </c>
      <c r="O171" s="131" t="str">
        <f>IF(FacingSheet!$B$11=100,IF(ISERROR(((((H171*1440)-230)*60)-((((H171*1440)-230)^1.6))/4)/86400),"",((((H171*1440)-230)*60)-((((H171*1440)-230)^1.6))/4)/86400),"")</f>
        <v/>
      </c>
      <c r="P171" s="108" t="str">
        <f>IF(FacingSheet!$B$11=10,J171,IF(FacingSheet!$B$11=15,K171,IF(FacingSheet!$B$11=25,L171,IF(FacingSheet!$B$11=30,M171,IF(FacingSheet!$B$11=50,N171,IF(FacingSheet!$B$11=100,O171,""))))))</f>
        <v/>
      </c>
      <c r="Q171" s="65" t="str">
        <f>IF(OR(F171="V",F171="FV"),IF(I171="","",IF(MONTH(FacingSheet!$S$9)&gt;MONTH(I171),YEAR(FacingSheet!$S$9)-YEAR(I171),IF(AND(MONTH(FacingSheet!$S$9)=MONTH(I171),DAY(FacingSheet!$S$9)&gt;=DAY(I171)),YEAR(FacingSheet!$S$9)-YEAR(I171),(YEAR(FacingSheet!$S$9)-YEAR(I171))-1))),"")</f>
        <v/>
      </c>
      <c r="R171" s="108" t="str">
        <f>IF(Q171="","",IF(FacingSheet!$B$11=10,VLOOKUP(Q171,Age,2,FALSE),IF(FacingSheet!$B$11=15,VLOOKUP(Q171,Age,3,FALSE),IF(FacingSheet!$B$11=25,VLOOKUP(Q171,Age,4,FALSE),IF(FacingSheet!$B$11=30,VLOOKUP(Q171,Age,5,FALSE),IF(FacingSheet!$B$11=50,VLOOKUP(Q171,Age,6,FALSE),IF(FacingSheet!$B$11=100,VLOOKUP(Q171,Age,7,FALSE),"")))))))</f>
        <v/>
      </c>
      <c r="S171" s="108" t="str">
        <f>IF(Q171="","",IF(FacingSheet!$B$11=10,VLOOKUP(Q171,AgeF,2,FALSE),IF(FacingSheet!$B$11=15,VLOOKUP(Q171,AgeF,3,FALSE),IF(FacingSheet!$B$11=25,VLOOKUP(Q171,AgeF,4,FALSE),IF(FacingSheet!$B$11=30,VLOOKUP(Q171,AgeF,5,FALSE),IF(FacingSheet!$B$11=50,VLOOKUP(Q171,AgeF,6,FALSE),IF(FacingSheet!$B$11=100,VLOOKUP(Q171,AgeF,7,FALSE),"")))))))</f>
        <v/>
      </c>
      <c r="T171" s="108" t="str">
        <f t="shared" si="6"/>
        <v/>
      </c>
      <c r="X171" s="132"/>
      <c r="Y171" s="132"/>
      <c r="Z171" s="132"/>
    </row>
    <row r="172" spans="1:26">
      <c r="A172" s="36"/>
      <c r="B172" s="133"/>
      <c r="C172" s="133"/>
      <c r="D172" s="1" t="str">
        <f>CONCATENATE(B172," ",C172)</f>
        <v xml:space="preserve"> </v>
      </c>
      <c r="E172" s="29"/>
      <c r="F172" s="29"/>
      <c r="G172" s="29"/>
      <c r="H172" s="193"/>
      <c r="I172" s="131"/>
      <c r="J172" s="100" t="str">
        <f>IF(FacingSheet!$B$11=10,IF(ISERROR(((((H172*1440)-20)*60)-(((H172*1440)-20)^1.6)*2.5)/86400),"",((((H172*1440)-20)*60)-(((H172*1440)-20)^1.6)*2.5)/86400),"")</f>
        <v/>
      </c>
      <c r="K172" s="100" t="str">
        <f>IF(FacingSheet!$B$11=15,IF(ISERROR(((((H172*1440)-33)*60)-(((H172*1440)-33)^1.6)*1.667)/86400),"",((((H172*1440)-33)*60)-(((H172*1440)-33)^1.6)*1.667)/86400),"")</f>
        <v/>
      </c>
      <c r="L172" s="100" t="str">
        <f>IF(FacingSheet!$B$11=25,IF(ISERROR(((((H172*1440)-50)*60)-(((H172*1440)-50)^1.6))/86400),"",((((H172*1440)-50)*60)-(((H172*1440)-50)^1.6))/86400),"")</f>
        <v/>
      </c>
      <c r="M172" s="100" t="str">
        <f>IF(FacingSheet!$B$11=30,IF(ISERROR(((((H172*1440)-60)*60)-((((H172*1440)-60)^1.6))/1.2)/86400),"",((((H172*1440)-60)*60)-((((H172*1440)-60)^1.6))/1.2)/86400),"")</f>
        <v/>
      </c>
      <c r="N172" s="100" t="str">
        <f>IF(FacingSheet!$B$11=50,IF(ISERROR(((((H172*1440)-105)*60)-((((H172*1440)-105)^1.6))/2)/86400),"",((((H172*1440)-105)*60)-((((H172*1440)-105)^1.6))/2)/86400),"")</f>
        <v/>
      </c>
      <c r="O172" s="100" t="str">
        <f>IF(FacingSheet!$B$11=100,IF(ISERROR(((((H172*1440)-230)*60)-((((H172*1440)-230)^1.6))/4)/86400),"",((((H172*1440)-230)*60)-((((H172*1440)-230)^1.6))/4)/86400),"")</f>
        <v/>
      </c>
      <c r="P172" s="108" t="str">
        <f>IF(FacingSheet!$B$11=10,J172,IF(FacingSheet!$B$11=15,K172,IF(FacingSheet!$B$11=25,L172,IF(FacingSheet!$B$11=30,M172,IF(FacingSheet!$B$11=50,N172,IF(FacingSheet!$B$11=100,O172,""))))))</f>
        <v/>
      </c>
      <c r="Q172" s="65" t="str">
        <f>IF(OR(F172="V",F172="FV"),IF(I172="","",IF(MONTH(FacingSheet!$S$9)&gt;MONTH(I172),YEAR(FacingSheet!$S$9)-YEAR(I172),IF(AND(MONTH(FacingSheet!$S$9)=MONTH(I172),DAY(FacingSheet!$S$9)&gt;=DAY(I172)),YEAR(FacingSheet!$S$9)-YEAR(I172),(YEAR(FacingSheet!$S$9)-YEAR(I172))-1))),"")</f>
        <v/>
      </c>
      <c r="R172" s="108" t="str">
        <f>IF(Q172="","",IF(FacingSheet!$B$11=10,VLOOKUP(Q172,Age,2,FALSE),IF(FacingSheet!$B$11=15,VLOOKUP(Q172,Age,3,FALSE),IF(FacingSheet!$B$11=25,VLOOKUP(Q172,Age,4,FALSE),IF(FacingSheet!$B$11=30,VLOOKUP(Q172,Age,5,FALSE),IF(FacingSheet!$B$11=50,VLOOKUP(Q172,Age,6,FALSE),IF(FacingSheet!$B$11=100,VLOOKUP(Q172,Age,7,FALSE),"")))))))</f>
        <v/>
      </c>
      <c r="S172" s="108" t="str">
        <f>IF(Q172="","",IF(FacingSheet!$B$11=10,VLOOKUP(Q172,AgeF,2,FALSE),IF(FacingSheet!$B$11=15,VLOOKUP(Q172,AgeF,3,FALSE),IF(FacingSheet!$B$11=25,VLOOKUP(Q172,AgeF,4,FALSE),IF(FacingSheet!$B$11=30,VLOOKUP(Q172,AgeF,5,FALSE),IF(FacingSheet!$B$11=50,VLOOKUP(Q172,AgeF,6,FALSE),IF(FacingSheet!$B$11=100,VLOOKUP(Q172,AgeF,7,FALSE),"")))))))</f>
        <v/>
      </c>
      <c r="T172" s="108" t="str">
        <f>IF(F172="V",R172,IF(F172="FV",S172,""))</f>
        <v/>
      </c>
      <c r="X172" s="132"/>
      <c r="Y172" s="132"/>
      <c r="Z172" s="132"/>
    </row>
    <row r="173" spans="1:26">
      <c r="A173" s="36"/>
      <c r="B173" s="133"/>
      <c r="C173" s="133"/>
      <c r="D173" s="1" t="str">
        <f t="shared" ref="D173:D201" si="7">CONCATENATE(B173," ",C173)</f>
        <v xml:space="preserve"> </v>
      </c>
      <c r="E173" s="29"/>
      <c r="F173" s="29"/>
      <c r="G173" s="29"/>
      <c r="H173" s="193"/>
      <c r="I173" s="131"/>
      <c r="J173" s="100" t="str">
        <f>IF(FacingSheet!$B$11=10,IF(ISERROR(((((H173*1440)-20)*60)-(((H173*1440)-20)^1.6)*2.5)/86400),"",((((H173*1440)-20)*60)-(((H173*1440)-20)^1.6)*2.5)/86400),"")</f>
        <v/>
      </c>
      <c r="K173" s="100" t="str">
        <f>IF(FacingSheet!$B$11=15,IF(ISERROR(((((H173*1440)-33)*60)-(((H173*1440)-33)^1.6)*1.667)/86400),"",((((H173*1440)-33)*60)-(((H173*1440)-33)^1.6)*1.667)/86400),"")</f>
        <v/>
      </c>
      <c r="L173" s="100" t="str">
        <f>IF(FacingSheet!$B$11=25,IF(ISERROR(((((H173*1440)-50)*60)-(((H173*1440)-50)^1.6))/86400),"",((((H173*1440)-50)*60)-(((H173*1440)-50)^1.6))/86400),"")</f>
        <v/>
      </c>
      <c r="M173" s="100" t="str">
        <f>IF(FacingSheet!$B$11=30,IF(ISERROR(((((H173*1440)-60)*60)-((((H173*1440)-60)^1.6))/1.2)/86400),"",((((H173*1440)-60)*60)-((((H173*1440)-60)^1.6))/1.2)/86400),"")</f>
        <v/>
      </c>
      <c r="N173" s="100" t="str">
        <f>IF(FacingSheet!$B$11=50,IF(ISERROR(((((H173*1440)-105)*60)-((((H173*1440)-105)^1.6))/2)/86400),"",((((H173*1440)-105)*60)-((((H173*1440)-105)^1.6))/2)/86400),"")</f>
        <v/>
      </c>
      <c r="O173" s="100" t="str">
        <f>IF(FacingSheet!$B$11=100,IF(ISERROR(((((H173*1440)-230)*60)-((((H173*1440)-230)^1.6))/4)/86400),"",((((H173*1440)-230)*60)-((((H173*1440)-230)^1.6))/4)/86400),"")</f>
        <v/>
      </c>
      <c r="P173" s="108" t="str">
        <f>IF(FacingSheet!$B$11=10,J173,IF(FacingSheet!$B$11=15,K173,IF(FacingSheet!$B$11=25,L173,IF(FacingSheet!$B$11=30,M173,IF(FacingSheet!$B$11=50,N173,IF(FacingSheet!$B$11=100,O173,""))))))</f>
        <v/>
      </c>
      <c r="Q173" s="65" t="str">
        <f>IF(OR(F173="V",F173="FV"),IF(I173="","",IF(MONTH(FacingSheet!$S$9)&gt;MONTH(I173),YEAR(FacingSheet!$S$9)-YEAR(I173),IF(AND(MONTH(FacingSheet!$S$9)=MONTH(I173),DAY(FacingSheet!$S$9)&gt;=DAY(I173)),YEAR(FacingSheet!$S$9)-YEAR(I173),(YEAR(FacingSheet!$S$9)-YEAR(I173))-1))),"")</f>
        <v/>
      </c>
      <c r="R173" s="108" t="str">
        <f>IF(Q173="","",IF(FacingSheet!$B$11=10,VLOOKUP(Q173,Age,2,FALSE),IF(FacingSheet!$B$11=15,VLOOKUP(Q173,Age,3,FALSE),IF(FacingSheet!$B$11=25,VLOOKUP(Q173,Age,4,FALSE),IF(FacingSheet!$B$11=30,VLOOKUP(Q173,Age,5,FALSE),IF(FacingSheet!$B$11=50,VLOOKUP(Q173,Age,6,FALSE),IF(FacingSheet!$B$11=100,VLOOKUP(Q173,Age,7,FALSE),"")))))))</f>
        <v/>
      </c>
      <c r="S173" s="108" t="str">
        <f>IF(Q173="","",IF(FacingSheet!$B$11=10,VLOOKUP(Q173,AgeF,2,FALSE),IF(FacingSheet!$B$11=15,VLOOKUP(Q173,AgeF,3,FALSE),IF(FacingSheet!$B$11=25,VLOOKUP(Q173,AgeF,4,FALSE),IF(FacingSheet!$B$11=30,VLOOKUP(Q173,AgeF,5,FALSE),IF(FacingSheet!$B$11=50,VLOOKUP(Q173,AgeF,6,FALSE),IF(FacingSheet!$B$11=100,VLOOKUP(Q173,AgeF,7,FALSE),"")))))))</f>
        <v/>
      </c>
      <c r="T173" s="108" t="str">
        <f t="shared" ref="T173:T201" si="8">IF(F173="V",R173,IF(F173="FV",S173,""))</f>
        <v/>
      </c>
    </row>
    <row r="174" spans="1:26">
      <c r="A174" s="36"/>
      <c r="B174" s="133"/>
      <c r="C174" s="133"/>
      <c r="D174" s="1" t="str">
        <f t="shared" si="7"/>
        <v xml:space="preserve"> </v>
      </c>
      <c r="E174" s="29"/>
      <c r="F174" s="29"/>
      <c r="G174" s="29"/>
      <c r="H174" s="193"/>
      <c r="I174" s="131"/>
      <c r="J174" s="100" t="str">
        <f>IF(FacingSheet!$B$11=10,IF(ISERROR(((((H174*1440)-20)*60)-(((H174*1440)-20)^1.6)*2.5)/86400),"",((((H174*1440)-20)*60)-(((H174*1440)-20)^1.6)*2.5)/86400),"")</f>
        <v/>
      </c>
      <c r="K174" s="100" t="str">
        <f>IF(FacingSheet!$B$11=15,IF(ISERROR(((((H174*1440)-33)*60)-(((H174*1440)-33)^1.6)*1.667)/86400),"",((((H174*1440)-33)*60)-(((H174*1440)-33)^1.6)*1.667)/86400),"")</f>
        <v/>
      </c>
      <c r="L174" s="100" t="str">
        <f>IF(FacingSheet!$B$11=25,IF(ISERROR(((((H174*1440)-50)*60)-(((H174*1440)-50)^1.6))/86400),"",((((H174*1440)-50)*60)-(((H174*1440)-50)^1.6))/86400),"")</f>
        <v/>
      </c>
      <c r="M174" s="100" t="str">
        <f>IF(FacingSheet!$B$11=30,IF(ISERROR(((((H174*1440)-60)*60)-((((H174*1440)-60)^1.6))/1.2)/86400),"",((((H174*1440)-60)*60)-((((H174*1440)-60)^1.6))/1.2)/86400),"")</f>
        <v/>
      </c>
      <c r="N174" s="100" t="str">
        <f>IF(FacingSheet!$B$11=50,IF(ISERROR(((((H174*1440)-105)*60)-((((H174*1440)-105)^1.6))/2)/86400),"",((((H174*1440)-105)*60)-((((H174*1440)-105)^1.6))/2)/86400),"")</f>
        <v/>
      </c>
      <c r="O174" s="100" t="str">
        <f>IF(FacingSheet!$B$11=100,IF(ISERROR(((((H174*1440)-230)*60)-((((H174*1440)-230)^1.6))/4)/86400),"",((((H174*1440)-230)*60)-((((H174*1440)-230)^1.6))/4)/86400),"")</f>
        <v/>
      </c>
      <c r="P174" s="108" t="str">
        <f>IF(FacingSheet!$B$11=10,J174,IF(FacingSheet!$B$11=15,K174,IF(FacingSheet!$B$11=25,L174,IF(FacingSheet!$B$11=30,M174,IF(FacingSheet!$B$11=50,N174,IF(FacingSheet!$B$11=100,O174,""))))))</f>
        <v/>
      </c>
      <c r="Q174" s="65" t="str">
        <f>IF(OR(F174="V",F174="FV"),IF(I174="","",IF(MONTH(FacingSheet!$S$9)&gt;MONTH(I174),YEAR(FacingSheet!$S$9)-YEAR(I174),IF(AND(MONTH(FacingSheet!$S$9)=MONTH(I174),DAY(FacingSheet!$S$9)&gt;=DAY(I174)),YEAR(FacingSheet!$S$9)-YEAR(I174),(YEAR(FacingSheet!$S$9)-YEAR(I174))-1))),"")</f>
        <v/>
      </c>
      <c r="R174" s="108" t="str">
        <f>IF(Q174="","",IF(FacingSheet!$B$11=10,VLOOKUP(Q174,Age,2,FALSE),IF(FacingSheet!$B$11=15,VLOOKUP(Q174,Age,3,FALSE),IF(FacingSheet!$B$11=25,VLOOKUP(Q174,Age,4,FALSE),IF(FacingSheet!$B$11=30,VLOOKUP(Q174,Age,5,FALSE),IF(FacingSheet!$B$11=50,VLOOKUP(Q174,Age,6,FALSE),IF(FacingSheet!$B$11=100,VLOOKUP(Q174,Age,7,FALSE),"")))))))</f>
        <v/>
      </c>
      <c r="S174" s="108" t="str">
        <f>IF(Q174="","",IF(FacingSheet!$B$11=10,VLOOKUP(Q174,AgeF,2,FALSE),IF(FacingSheet!$B$11=15,VLOOKUP(Q174,AgeF,3,FALSE),IF(FacingSheet!$B$11=25,VLOOKUP(Q174,AgeF,4,FALSE),IF(FacingSheet!$B$11=30,VLOOKUP(Q174,AgeF,5,FALSE),IF(FacingSheet!$B$11=50,VLOOKUP(Q174,AgeF,6,FALSE),IF(FacingSheet!$B$11=100,VLOOKUP(Q174,AgeF,7,FALSE),"")))))))</f>
        <v/>
      </c>
      <c r="T174" s="108" t="str">
        <f t="shared" si="8"/>
        <v/>
      </c>
    </row>
    <row r="175" spans="1:26">
      <c r="A175" s="36"/>
      <c r="B175" s="133"/>
      <c r="C175" s="133"/>
      <c r="D175" s="1" t="str">
        <f t="shared" si="7"/>
        <v xml:space="preserve"> </v>
      </c>
      <c r="E175" s="29"/>
      <c r="F175" s="29"/>
      <c r="G175" s="29"/>
      <c r="H175" s="193"/>
      <c r="I175" s="131"/>
      <c r="J175" s="100" t="str">
        <f>IF(FacingSheet!$B$11=10,IF(ISERROR(((((H175*1440)-20)*60)-(((H175*1440)-20)^1.6)*2.5)/86400),"",((((H175*1440)-20)*60)-(((H175*1440)-20)^1.6)*2.5)/86400),"")</f>
        <v/>
      </c>
      <c r="K175" s="100" t="str">
        <f>IF(FacingSheet!$B$11=15,IF(ISERROR(((((H175*1440)-33)*60)-(((H175*1440)-33)^1.6)*1.667)/86400),"",((((H175*1440)-33)*60)-(((H175*1440)-33)^1.6)*1.667)/86400),"")</f>
        <v/>
      </c>
      <c r="L175" s="100" t="str">
        <f>IF(FacingSheet!$B$11=25,IF(ISERROR(((((H175*1440)-50)*60)-(((H175*1440)-50)^1.6))/86400),"",((((H175*1440)-50)*60)-(((H175*1440)-50)^1.6))/86400),"")</f>
        <v/>
      </c>
      <c r="M175" s="100" t="str">
        <f>IF(FacingSheet!$B$11=30,IF(ISERROR(((((H175*1440)-60)*60)-((((H175*1440)-60)^1.6))/1.2)/86400),"",((((H175*1440)-60)*60)-((((H175*1440)-60)^1.6))/1.2)/86400),"")</f>
        <v/>
      </c>
      <c r="N175" s="100" t="str">
        <f>IF(FacingSheet!$B$11=50,IF(ISERROR(((((H175*1440)-105)*60)-((((H175*1440)-105)^1.6))/2)/86400),"",((((H175*1440)-105)*60)-((((H175*1440)-105)^1.6))/2)/86400),"")</f>
        <v/>
      </c>
      <c r="O175" s="100" t="str">
        <f>IF(FacingSheet!$B$11=100,IF(ISERROR(((((H175*1440)-230)*60)-((((H175*1440)-230)^1.6))/4)/86400),"",((((H175*1440)-230)*60)-((((H175*1440)-230)^1.6))/4)/86400),"")</f>
        <v/>
      </c>
      <c r="P175" s="108" t="str">
        <f>IF(FacingSheet!$B$11=10,J175,IF(FacingSheet!$B$11=15,K175,IF(FacingSheet!$B$11=25,L175,IF(FacingSheet!$B$11=30,M175,IF(FacingSheet!$B$11=50,N175,IF(FacingSheet!$B$11=100,O175,""))))))</f>
        <v/>
      </c>
      <c r="Q175" s="65" t="str">
        <f>IF(OR(F175="V",F175="FV"),IF(I175="","",IF(MONTH(FacingSheet!$S$9)&gt;MONTH(I175),YEAR(FacingSheet!$S$9)-YEAR(I175),IF(AND(MONTH(FacingSheet!$S$9)=MONTH(I175),DAY(FacingSheet!$S$9)&gt;=DAY(I175)),YEAR(FacingSheet!$S$9)-YEAR(I175),(YEAR(FacingSheet!$S$9)-YEAR(I175))-1))),"")</f>
        <v/>
      </c>
      <c r="R175" s="108" t="str">
        <f>IF(Q175="","",IF(FacingSheet!$B$11=10,VLOOKUP(Q175,Age,2,FALSE),IF(FacingSheet!$B$11=15,VLOOKUP(Q175,Age,3,FALSE),IF(FacingSheet!$B$11=25,VLOOKUP(Q175,Age,4,FALSE),IF(FacingSheet!$B$11=30,VLOOKUP(Q175,Age,5,FALSE),IF(FacingSheet!$B$11=50,VLOOKUP(Q175,Age,6,FALSE),IF(FacingSheet!$B$11=100,VLOOKUP(Q175,Age,7,FALSE),"")))))))</f>
        <v/>
      </c>
      <c r="S175" s="108" t="str">
        <f>IF(Q175="","",IF(FacingSheet!$B$11=10,VLOOKUP(Q175,AgeF,2,FALSE),IF(FacingSheet!$B$11=15,VLOOKUP(Q175,AgeF,3,FALSE),IF(FacingSheet!$B$11=25,VLOOKUP(Q175,AgeF,4,FALSE),IF(FacingSheet!$B$11=30,VLOOKUP(Q175,AgeF,5,FALSE),IF(FacingSheet!$B$11=50,VLOOKUP(Q175,AgeF,6,FALSE),IF(FacingSheet!$B$11=100,VLOOKUP(Q175,AgeF,7,FALSE),"")))))))</f>
        <v/>
      </c>
      <c r="T175" s="108" t="str">
        <f t="shared" si="8"/>
        <v/>
      </c>
    </row>
    <row r="176" spans="1:26">
      <c r="A176" s="36"/>
      <c r="B176" s="133"/>
      <c r="C176" s="133"/>
      <c r="D176" s="1" t="str">
        <f t="shared" si="7"/>
        <v xml:space="preserve"> </v>
      </c>
      <c r="E176" s="29"/>
      <c r="F176" s="29"/>
      <c r="G176" s="29"/>
      <c r="H176" s="193"/>
      <c r="I176" s="131"/>
      <c r="J176" s="100" t="str">
        <f>IF(FacingSheet!$B$11=10,IF(ISERROR(((((H176*1440)-20)*60)-(((H176*1440)-20)^1.6)*2.5)/86400),"",((((H176*1440)-20)*60)-(((H176*1440)-20)^1.6)*2.5)/86400),"")</f>
        <v/>
      </c>
      <c r="K176" s="100" t="str">
        <f>IF(FacingSheet!$B$11=15,IF(ISERROR(((((H176*1440)-33)*60)-(((H176*1440)-33)^1.6)*1.667)/86400),"",((((H176*1440)-33)*60)-(((H176*1440)-33)^1.6)*1.667)/86400),"")</f>
        <v/>
      </c>
      <c r="L176" s="100" t="str">
        <f>IF(FacingSheet!$B$11=25,IF(ISERROR(((((H176*1440)-50)*60)-(((H176*1440)-50)^1.6))/86400),"",((((H176*1440)-50)*60)-(((H176*1440)-50)^1.6))/86400),"")</f>
        <v/>
      </c>
      <c r="M176" s="100" t="str">
        <f>IF(FacingSheet!$B$11=30,IF(ISERROR(((((H176*1440)-60)*60)-((((H176*1440)-60)^1.6))/1.2)/86400),"",((((H176*1440)-60)*60)-((((H176*1440)-60)^1.6))/1.2)/86400),"")</f>
        <v/>
      </c>
      <c r="N176" s="100" t="str">
        <f>IF(FacingSheet!$B$11=50,IF(ISERROR(((((H176*1440)-105)*60)-((((H176*1440)-105)^1.6))/2)/86400),"",((((H176*1440)-105)*60)-((((H176*1440)-105)^1.6))/2)/86400),"")</f>
        <v/>
      </c>
      <c r="O176" s="100" t="str">
        <f>IF(FacingSheet!$B$11=100,IF(ISERROR(((((H176*1440)-230)*60)-((((H176*1440)-230)^1.6))/4)/86400),"",((((H176*1440)-230)*60)-((((H176*1440)-230)^1.6))/4)/86400),"")</f>
        <v/>
      </c>
      <c r="P176" s="108" t="str">
        <f>IF(FacingSheet!$B$11=10,J176,IF(FacingSheet!$B$11=15,K176,IF(FacingSheet!$B$11=25,L176,IF(FacingSheet!$B$11=30,M176,IF(FacingSheet!$B$11=50,N176,IF(FacingSheet!$B$11=100,O176,""))))))</f>
        <v/>
      </c>
      <c r="Q176" s="65" t="str">
        <f>IF(OR(F176="V",F176="FV"),IF(I176="","",IF(MONTH(FacingSheet!$S$9)&gt;MONTH(I176),YEAR(FacingSheet!$S$9)-YEAR(I176),IF(AND(MONTH(FacingSheet!$S$9)=MONTH(I176),DAY(FacingSheet!$S$9)&gt;=DAY(I176)),YEAR(FacingSheet!$S$9)-YEAR(I176),(YEAR(FacingSheet!$S$9)-YEAR(I176))-1))),"")</f>
        <v/>
      </c>
      <c r="R176" s="108" t="str">
        <f>IF(Q176="","",IF(FacingSheet!$B$11=10,VLOOKUP(Q176,Age,2,FALSE),IF(FacingSheet!$B$11=15,VLOOKUP(Q176,Age,3,FALSE),IF(FacingSheet!$B$11=25,VLOOKUP(Q176,Age,4,FALSE),IF(FacingSheet!$B$11=30,VLOOKUP(Q176,Age,5,FALSE),IF(FacingSheet!$B$11=50,VLOOKUP(Q176,Age,6,FALSE),IF(FacingSheet!$B$11=100,VLOOKUP(Q176,Age,7,FALSE),"")))))))</f>
        <v/>
      </c>
      <c r="S176" s="108" t="str">
        <f>IF(Q176="","",IF(FacingSheet!$B$11=10,VLOOKUP(Q176,AgeF,2,FALSE),IF(FacingSheet!$B$11=15,VLOOKUP(Q176,AgeF,3,FALSE),IF(FacingSheet!$B$11=25,VLOOKUP(Q176,AgeF,4,FALSE),IF(FacingSheet!$B$11=30,VLOOKUP(Q176,AgeF,5,FALSE),IF(FacingSheet!$B$11=50,VLOOKUP(Q176,AgeF,6,FALSE),IF(FacingSheet!$B$11=100,VLOOKUP(Q176,AgeF,7,FALSE),"")))))))</f>
        <v/>
      </c>
      <c r="T176" s="108" t="str">
        <f t="shared" si="8"/>
        <v/>
      </c>
    </row>
    <row r="177" spans="1:20">
      <c r="A177" s="36"/>
      <c r="B177" s="133"/>
      <c r="C177" s="133"/>
      <c r="D177" s="1" t="str">
        <f t="shared" si="7"/>
        <v xml:space="preserve"> </v>
      </c>
      <c r="E177" s="29"/>
      <c r="F177" s="29"/>
      <c r="G177" s="29"/>
      <c r="H177" s="193"/>
      <c r="I177" s="131"/>
      <c r="J177" s="100" t="str">
        <f>IF(FacingSheet!$B$11=10,IF(ISERROR(((((H177*1440)-20)*60)-(((H177*1440)-20)^1.6)*2.5)/86400),"",((((H177*1440)-20)*60)-(((H177*1440)-20)^1.6)*2.5)/86400),"")</f>
        <v/>
      </c>
      <c r="K177" s="100" t="str">
        <f>IF(FacingSheet!$B$11=15,IF(ISERROR(((((H177*1440)-33)*60)-(((H177*1440)-33)^1.6)*1.667)/86400),"",((((H177*1440)-33)*60)-(((H177*1440)-33)^1.6)*1.667)/86400),"")</f>
        <v/>
      </c>
      <c r="L177" s="100" t="str">
        <f>IF(FacingSheet!$B$11=25,IF(ISERROR(((((H177*1440)-50)*60)-(((H177*1440)-50)^1.6))/86400),"",((((H177*1440)-50)*60)-(((H177*1440)-50)^1.6))/86400),"")</f>
        <v/>
      </c>
      <c r="M177" s="100" t="str">
        <f>IF(FacingSheet!$B$11=30,IF(ISERROR(((((H177*1440)-60)*60)-((((H177*1440)-60)^1.6))/1.2)/86400),"",((((H177*1440)-60)*60)-((((H177*1440)-60)^1.6))/1.2)/86400),"")</f>
        <v/>
      </c>
      <c r="N177" s="100" t="str">
        <f>IF(FacingSheet!$B$11=50,IF(ISERROR(((((H177*1440)-105)*60)-((((H177*1440)-105)^1.6))/2)/86400),"",((((H177*1440)-105)*60)-((((H177*1440)-105)^1.6))/2)/86400),"")</f>
        <v/>
      </c>
      <c r="O177" s="100" t="str">
        <f>IF(FacingSheet!$B$11=100,IF(ISERROR(((((H177*1440)-230)*60)-((((H177*1440)-230)^1.6))/4)/86400),"",((((H177*1440)-230)*60)-((((H177*1440)-230)^1.6))/4)/86400),"")</f>
        <v/>
      </c>
      <c r="P177" s="108" t="str">
        <f>IF(FacingSheet!$B$11=10,J177,IF(FacingSheet!$B$11=15,K177,IF(FacingSheet!$B$11=25,L177,IF(FacingSheet!$B$11=30,M177,IF(FacingSheet!$B$11=50,N177,IF(FacingSheet!$B$11=100,O177,""))))))</f>
        <v/>
      </c>
      <c r="Q177" s="65" t="str">
        <f>IF(OR(F177="V",F177="FV"),IF(I177="","",IF(MONTH(FacingSheet!$S$9)&gt;MONTH(I177),YEAR(FacingSheet!$S$9)-YEAR(I177),IF(AND(MONTH(FacingSheet!$S$9)=MONTH(I177),DAY(FacingSheet!$S$9)&gt;=DAY(I177)),YEAR(FacingSheet!$S$9)-YEAR(I177),(YEAR(FacingSheet!$S$9)-YEAR(I177))-1))),"")</f>
        <v/>
      </c>
      <c r="R177" s="108" t="str">
        <f>IF(Q177="","",IF(FacingSheet!$B$11=10,VLOOKUP(Q177,Age,2,FALSE),IF(FacingSheet!$B$11=15,VLOOKUP(Q177,Age,3,FALSE),IF(FacingSheet!$B$11=25,VLOOKUP(Q177,Age,4,FALSE),IF(FacingSheet!$B$11=30,VLOOKUP(Q177,Age,5,FALSE),IF(FacingSheet!$B$11=50,VLOOKUP(Q177,Age,6,FALSE),IF(FacingSheet!$B$11=100,VLOOKUP(Q177,Age,7,FALSE),"")))))))</f>
        <v/>
      </c>
      <c r="S177" s="108" t="str">
        <f>IF(Q177="","",IF(FacingSheet!$B$11=10,VLOOKUP(Q177,AgeF,2,FALSE),IF(FacingSheet!$B$11=15,VLOOKUP(Q177,AgeF,3,FALSE),IF(FacingSheet!$B$11=25,VLOOKUP(Q177,AgeF,4,FALSE),IF(FacingSheet!$B$11=30,VLOOKUP(Q177,AgeF,5,FALSE),IF(FacingSheet!$B$11=50,VLOOKUP(Q177,AgeF,6,FALSE),IF(FacingSheet!$B$11=100,VLOOKUP(Q177,AgeF,7,FALSE),"")))))))</f>
        <v/>
      </c>
      <c r="T177" s="108" t="str">
        <f t="shared" si="8"/>
        <v/>
      </c>
    </row>
    <row r="178" spans="1:20">
      <c r="A178" s="36"/>
      <c r="B178" s="133"/>
      <c r="C178" s="133"/>
      <c r="D178" s="1" t="str">
        <f t="shared" si="7"/>
        <v xml:space="preserve"> </v>
      </c>
      <c r="E178" s="29"/>
      <c r="F178" s="29"/>
      <c r="G178" s="29"/>
      <c r="H178" s="193"/>
      <c r="I178" s="131"/>
      <c r="J178" s="100" t="str">
        <f>IF(FacingSheet!$B$11=10,IF(ISERROR(((((H178*1440)-20)*60)-(((H178*1440)-20)^1.6)*2.5)/86400),"",((((H178*1440)-20)*60)-(((H178*1440)-20)^1.6)*2.5)/86400),"")</f>
        <v/>
      </c>
      <c r="K178" s="100" t="str">
        <f>IF(FacingSheet!$B$11=15,IF(ISERROR(((((H178*1440)-33)*60)-(((H178*1440)-33)^1.6)*1.667)/86400),"",((((H178*1440)-33)*60)-(((H178*1440)-33)^1.6)*1.667)/86400),"")</f>
        <v/>
      </c>
      <c r="L178" s="100" t="str">
        <f>IF(FacingSheet!$B$11=25,IF(ISERROR(((((H178*1440)-50)*60)-(((H178*1440)-50)^1.6))/86400),"",((((H178*1440)-50)*60)-(((H178*1440)-50)^1.6))/86400),"")</f>
        <v/>
      </c>
      <c r="M178" s="100" t="str">
        <f>IF(FacingSheet!$B$11=30,IF(ISERROR(((((H178*1440)-60)*60)-((((H178*1440)-60)^1.6))/1.2)/86400),"",((((H178*1440)-60)*60)-((((H178*1440)-60)^1.6))/1.2)/86400),"")</f>
        <v/>
      </c>
      <c r="N178" s="100" t="str">
        <f>IF(FacingSheet!$B$11=50,IF(ISERROR(((((H178*1440)-105)*60)-((((H178*1440)-105)^1.6))/2)/86400),"",((((H178*1440)-105)*60)-((((H178*1440)-105)^1.6))/2)/86400),"")</f>
        <v/>
      </c>
      <c r="O178" s="100" t="str">
        <f>IF(FacingSheet!$B$11=100,IF(ISERROR(((((H178*1440)-230)*60)-((((H178*1440)-230)^1.6))/4)/86400),"",((((H178*1440)-230)*60)-((((H178*1440)-230)^1.6))/4)/86400),"")</f>
        <v/>
      </c>
      <c r="P178" s="108" t="str">
        <f>IF(FacingSheet!$B$11=10,J178,IF(FacingSheet!$B$11=15,K178,IF(FacingSheet!$B$11=25,L178,IF(FacingSheet!$B$11=30,M178,IF(FacingSheet!$B$11=50,N178,IF(FacingSheet!$B$11=100,O178,""))))))</f>
        <v/>
      </c>
      <c r="Q178" s="65" t="str">
        <f>IF(OR(F178="V",F178="FV"),IF(I178="","",IF(MONTH(FacingSheet!$S$9)&gt;MONTH(I178),YEAR(FacingSheet!$S$9)-YEAR(I178),IF(AND(MONTH(FacingSheet!$S$9)=MONTH(I178),DAY(FacingSheet!$S$9)&gt;=DAY(I178)),YEAR(FacingSheet!$S$9)-YEAR(I178),(YEAR(FacingSheet!$S$9)-YEAR(I178))-1))),"")</f>
        <v/>
      </c>
      <c r="R178" s="108" t="str">
        <f>IF(Q178="","",IF(FacingSheet!$B$11=10,VLOOKUP(Q178,Age,2,FALSE),IF(FacingSheet!$B$11=15,VLOOKUP(Q178,Age,3,FALSE),IF(FacingSheet!$B$11=25,VLOOKUP(Q178,Age,4,FALSE),IF(FacingSheet!$B$11=30,VLOOKUP(Q178,Age,5,FALSE),IF(FacingSheet!$B$11=50,VLOOKUP(Q178,Age,6,FALSE),IF(FacingSheet!$B$11=100,VLOOKUP(Q178,Age,7,FALSE),"")))))))</f>
        <v/>
      </c>
      <c r="S178" s="108" t="str">
        <f>IF(Q178="","",IF(FacingSheet!$B$11=10,VLOOKUP(Q178,AgeF,2,FALSE),IF(FacingSheet!$B$11=15,VLOOKUP(Q178,AgeF,3,FALSE),IF(FacingSheet!$B$11=25,VLOOKUP(Q178,AgeF,4,FALSE),IF(FacingSheet!$B$11=30,VLOOKUP(Q178,AgeF,5,FALSE),IF(FacingSheet!$B$11=50,VLOOKUP(Q178,AgeF,6,FALSE),IF(FacingSheet!$B$11=100,VLOOKUP(Q178,AgeF,7,FALSE),"")))))))</f>
        <v/>
      </c>
      <c r="T178" s="108" t="str">
        <f t="shared" si="8"/>
        <v/>
      </c>
    </row>
    <row r="179" spans="1:20">
      <c r="A179" s="36"/>
      <c r="B179" s="133"/>
      <c r="C179" s="133"/>
      <c r="D179" s="1" t="str">
        <f t="shared" si="7"/>
        <v xml:space="preserve"> </v>
      </c>
      <c r="E179" s="29"/>
      <c r="F179" s="29"/>
      <c r="G179" s="29"/>
      <c r="H179" s="193"/>
      <c r="I179" s="131"/>
      <c r="J179" s="100" t="str">
        <f>IF(FacingSheet!$B$11=10,IF(ISERROR(((((H179*1440)-20)*60)-(((H179*1440)-20)^1.6)*2.5)/86400),"",((((H179*1440)-20)*60)-(((H179*1440)-20)^1.6)*2.5)/86400),"")</f>
        <v/>
      </c>
      <c r="K179" s="100" t="str">
        <f>IF(FacingSheet!$B$11=15,IF(ISERROR(((((H179*1440)-33)*60)-(((H179*1440)-33)^1.6)*1.667)/86400),"",((((H179*1440)-33)*60)-(((H179*1440)-33)^1.6)*1.667)/86400),"")</f>
        <v/>
      </c>
      <c r="L179" s="100" t="str">
        <f>IF(FacingSheet!$B$11=25,IF(ISERROR(((((H179*1440)-50)*60)-(((H179*1440)-50)^1.6))/86400),"",((((H179*1440)-50)*60)-(((H179*1440)-50)^1.6))/86400),"")</f>
        <v/>
      </c>
      <c r="M179" s="100" t="str">
        <f>IF(FacingSheet!$B$11=30,IF(ISERROR(((((H179*1440)-60)*60)-((((H179*1440)-60)^1.6))/1.2)/86400),"",((((H179*1440)-60)*60)-((((H179*1440)-60)^1.6))/1.2)/86400),"")</f>
        <v/>
      </c>
      <c r="N179" s="100" t="str">
        <f>IF(FacingSheet!$B$11=50,IF(ISERROR(((((H179*1440)-105)*60)-((((H179*1440)-105)^1.6))/2)/86400),"",((((H179*1440)-105)*60)-((((H179*1440)-105)^1.6))/2)/86400),"")</f>
        <v/>
      </c>
      <c r="O179" s="100" t="str">
        <f>IF(FacingSheet!$B$11=100,IF(ISERROR(((((H179*1440)-230)*60)-((((H179*1440)-230)^1.6))/4)/86400),"",((((H179*1440)-230)*60)-((((H179*1440)-230)^1.6))/4)/86400),"")</f>
        <v/>
      </c>
      <c r="P179" s="108" t="str">
        <f>IF(FacingSheet!$B$11=10,J179,IF(FacingSheet!$B$11=15,K179,IF(FacingSheet!$B$11=25,L179,IF(FacingSheet!$B$11=30,M179,IF(FacingSheet!$B$11=50,N179,IF(FacingSheet!$B$11=100,O179,""))))))</f>
        <v/>
      </c>
      <c r="Q179" s="65" t="str">
        <f>IF(OR(F179="V",F179="FV"),IF(I179="","",IF(MONTH(FacingSheet!$S$9)&gt;MONTH(I179),YEAR(FacingSheet!$S$9)-YEAR(I179),IF(AND(MONTH(FacingSheet!$S$9)=MONTH(I179),DAY(FacingSheet!$S$9)&gt;=DAY(I179)),YEAR(FacingSheet!$S$9)-YEAR(I179),(YEAR(FacingSheet!$S$9)-YEAR(I179))-1))),"")</f>
        <v/>
      </c>
      <c r="R179" s="108" t="str">
        <f>IF(Q179="","",IF(FacingSheet!$B$11=10,VLOOKUP(Q179,Age,2,FALSE),IF(FacingSheet!$B$11=15,VLOOKUP(Q179,Age,3,FALSE),IF(FacingSheet!$B$11=25,VLOOKUP(Q179,Age,4,FALSE),IF(FacingSheet!$B$11=30,VLOOKUP(Q179,Age,5,FALSE),IF(FacingSheet!$B$11=50,VLOOKUP(Q179,Age,6,FALSE),IF(FacingSheet!$B$11=100,VLOOKUP(Q179,Age,7,FALSE),"")))))))</f>
        <v/>
      </c>
      <c r="S179" s="108" t="str">
        <f>IF(Q179="","",IF(FacingSheet!$B$11=10,VLOOKUP(Q179,AgeF,2,FALSE),IF(FacingSheet!$B$11=15,VLOOKUP(Q179,AgeF,3,FALSE),IF(FacingSheet!$B$11=25,VLOOKUP(Q179,AgeF,4,FALSE),IF(FacingSheet!$B$11=30,VLOOKUP(Q179,AgeF,5,FALSE),IF(FacingSheet!$B$11=50,VLOOKUP(Q179,AgeF,6,FALSE),IF(FacingSheet!$B$11=100,VLOOKUP(Q179,AgeF,7,FALSE),"")))))))</f>
        <v/>
      </c>
      <c r="T179" s="108" t="str">
        <f t="shared" si="8"/>
        <v/>
      </c>
    </row>
    <row r="180" spans="1:20">
      <c r="A180" s="36"/>
      <c r="B180" s="133"/>
      <c r="C180" s="133"/>
      <c r="D180" s="1" t="str">
        <f t="shared" si="7"/>
        <v xml:space="preserve"> </v>
      </c>
      <c r="E180" s="29"/>
      <c r="F180" s="29"/>
      <c r="G180" s="29"/>
      <c r="H180" s="193"/>
      <c r="I180" s="131"/>
      <c r="J180" s="100" t="str">
        <f>IF(FacingSheet!$B$11=10,IF(ISERROR(((((H180*1440)-20)*60)-(((H180*1440)-20)^1.6)*2.5)/86400),"",((((H180*1440)-20)*60)-(((H180*1440)-20)^1.6)*2.5)/86400),"")</f>
        <v/>
      </c>
      <c r="K180" s="100" t="str">
        <f>IF(FacingSheet!$B$11=15,IF(ISERROR(((((H180*1440)-33)*60)-(((H180*1440)-33)^1.6)*1.667)/86400),"",((((H180*1440)-33)*60)-(((H180*1440)-33)^1.6)*1.667)/86400),"")</f>
        <v/>
      </c>
      <c r="L180" s="100" t="str">
        <f>IF(FacingSheet!$B$11=25,IF(ISERROR(((((H180*1440)-50)*60)-(((H180*1440)-50)^1.6))/86400),"",((((H180*1440)-50)*60)-(((H180*1440)-50)^1.6))/86400),"")</f>
        <v/>
      </c>
      <c r="M180" s="100" t="str">
        <f>IF(FacingSheet!$B$11=30,IF(ISERROR(((((H180*1440)-60)*60)-((((H180*1440)-60)^1.6))/1.2)/86400),"",((((H180*1440)-60)*60)-((((H180*1440)-60)^1.6))/1.2)/86400),"")</f>
        <v/>
      </c>
      <c r="N180" s="100" t="str">
        <f>IF(FacingSheet!$B$11=50,IF(ISERROR(((((H180*1440)-105)*60)-((((H180*1440)-105)^1.6))/2)/86400),"",((((H180*1440)-105)*60)-((((H180*1440)-105)^1.6))/2)/86400),"")</f>
        <v/>
      </c>
      <c r="O180" s="100" t="str">
        <f>IF(FacingSheet!$B$11=100,IF(ISERROR(((((H180*1440)-230)*60)-((((H180*1440)-230)^1.6))/4)/86400),"",((((H180*1440)-230)*60)-((((H180*1440)-230)^1.6))/4)/86400),"")</f>
        <v/>
      </c>
      <c r="P180" s="108" t="str">
        <f>IF(FacingSheet!$B$11=10,J180,IF(FacingSheet!$B$11=15,K180,IF(FacingSheet!$B$11=25,L180,IF(FacingSheet!$B$11=30,M180,IF(FacingSheet!$B$11=50,N180,IF(FacingSheet!$B$11=100,O180,""))))))</f>
        <v/>
      </c>
      <c r="Q180" s="65" t="str">
        <f>IF(OR(F180="V",F180="FV"),IF(I180="","",IF(MONTH(FacingSheet!$S$9)&gt;MONTH(I180),YEAR(FacingSheet!$S$9)-YEAR(I180),IF(AND(MONTH(FacingSheet!$S$9)=MONTH(I180),DAY(FacingSheet!$S$9)&gt;=DAY(I180)),YEAR(FacingSheet!$S$9)-YEAR(I180),(YEAR(FacingSheet!$S$9)-YEAR(I180))-1))),"")</f>
        <v/>
      </c>
      <c r="R180" s="108" t="str">
        <f>IF(Q180="","",IF(FacingSheet!$B$11=10,VLOOKUP(Q180,Age,2,FALSE),IF(FacingSheet!$B$11=15,VLOOKUP(Q180,Age,3,FALSE),IF(FacingSheet!$B$11=25,VLOOKUP(Q180,Age,4,FALSE),IF(FacingSheet!$B$11=30,VLOOKUP(Q180,Age,5,FALSE),IF(FacingSheet!$B$11=50,VLOOKUP(Q180,Age,6,FALSE),IF(FacingSheet!$B$11=100,VLOOKUP(Q180,Age,7,FALSE),"")))))))</f>
        <v/>
      </c>
      <c r="S180" s="108" t="str">
        <f>IF(Q180="","",IF(FacingSheet!$B$11=10,VLOOKUP(Q180,AgeF,2,FALSE),IF(FacingSheet!$B$11=15,VLOOKUP(Q180,AgeF,3,FALSE),IF(FacingSheet!$B$11=25,VLOOKUP(Q180,AgeF,4,FALSE),IF(FacingSheet!$B$11=30,VLOOKUP(Q180,AgeF,5,FALSE),IF(FacingSheet!$B$11=50,VLOOKUP(Q180,AgeF,6,FALSE),IF(FacingSheet!$B$11=100,VLOOKUP(Q180,AgeF,7,FALSE),"")))))))</f>
        <v/>
      </c>
      <c r="T180" s="108" t="str">
        <f t="shared" si="8"/>
        <v/>
      </c>
    </row>
    <row r="181" spans="1:20">
      <c r="A181" s="36"/>
      <c r="B181" s="133"/>
      <c r="C181" s="133"/>
      <c r="D181" s="1" t="str">
        <f t="shared" si="7"/>
        <v xml:space="preserve"> </v>
      </c>
      <c r="E181" s="29"/>
      <c r="F181" s="29"/>
      <c r="G181" s="29"/>
      <c r="H181" s="193"/>
      <c r="I181" s="131"/>
      <c r="J181" s="100" t="str">
        <f>IF(FacingSheet!$B$11=10,IF(ISERROR(((((H181*1440)-20)*60)-(((H181*1440)-20)^1.6)*2.5)/86400),"",((((H181*1440)-20)*60)-(((H181*1440)-20)^1.6)*2.5)/86400),"")</f>
        <v/>
      </c>
      <c r="K181" s="100" t="str">
        <f>IF(FacingSheet!$B$11=15,IF(ISERROR(((((H181*1440)-33)*60)-(((H181*1440)-33)^1.6)*1.667)/86400),"",((((H181*1440)-33)*60)-(((H181*1440)-33)^1.6)*1.667)/86400),"")</f>
        <v/>
      </c>
      <c r="L181" s="100" t="str">
        <f>IF(FacingSheet!$B$11=25,IF(ISERROR(((((H181*1440)-50)*60)-(((H181*1440)-50)^1.6))/86400),"",((((H181*1440)-50)*60)-(((H181*1440)-50)^1.6))/86400),"")</f>
        <v/>
      </c>
      <c r="M181" s="100" t="str">
        <f>IF(FacingSheet!$B$11=30,IF(ISERROR(((((H181*1440)-60)*60)-((((H181*1440)-60)^1.6))/1.2)/86400),"",((((H181*1440)-60)*60)-((((H181*1440)-60)^1.6))/1.2)/86400),"")</f>
        <v/>
      </c>
      <c r="N181" s="100" t="str">
        <f>IF(FacingSheet!$B$11=50,IF(ISERROR(((((H181*1440)-105)*60)-((((H181*1440)-105)^1.6))/2)/86400),"",((((H181*1440)-105)*60)-((((H181*1440)-105)^1.6))/2)/86400),"")</f>
        <v/>
      </c>
      <c r="O181" s="100" t="str">
        <f>IF(FacingSheet!$B$11=100,IF(ISERROR(((((H181*1440)-230)*60)-((((H181*1440)-230)^1.6))/4)/86400),"",((((H181*1440)-230)*60)-((((H181*1440)-230)^1.6))/4)/86400),"")</f>
        <v/>
      </c>
      <c r="P181" s="108" t="str">
        <f>IF(FacingSheet!$B$11=10,J181,IF(FacingSheet!$B$11=15,K181,IF(FacingSheet!$B$11=25,L181,IF(FacingSheet!$B$11=30,M181,IF(FacingSheet!$B$11=50,N181,IF(FacingSheet!$B$11=100,O181,""))))))</f>
        <v/>
      </c>
      <c r="Q181" s="65" t="str">
        <f>IF(OR(F181="V",F181="FV"),IF(I181="","",IF(MONTH(FacingSheet!$S$9)&gt;MONTH(I181),YEAR(FacingSheet!$S$9)-YEAR(I181),IF(AND(MONTH(FacingSheet!$S$9)=MONTH(I181),DAY(FacingSheet!$S$9)&gt;=DAY(I181)),YEAR(FacingSheet!$S$9)-YEAR(I181),(YEAR(FacingSheet!$S$9)-YEAR(I181))-1))),"")</f>
        <v/>
      </c>
      <c r="R181" s="108" t="str">
        <f>IF(Q181="","",IF(FacingSheet!$B$11=10,VLOOKUP(Q181,Age,2,FALSE),IF(FacingSheet!$B$11=15,VLOOKUP(Q181,Age,3,FALSE),IF(FacingSheet!$B$11=25,VLOOKUP(Q181,Age,4,FALSE),IF(FacingSheet!$B$11=30,VLOOKUP(Q181,Age,5,FALSE),IF(FacingSheet!$B$11=50,VLOOKUP(Q181,Age,6,FALSE),IF(FacingSheet!$B$11=100,VLOOKUP(Q181,Age,7,FALSE),"")))))))</f>
        <v/>
      </c>
      <c r="S181" s="108" t="str">
        <f>IF(Q181="","",IF(FacingSheet!$B$11=10,VLOOKUP(Q181,AgeF,2,FALSE),IF(FacingSheet!$B$11=15,VLOOKUP(Q181,AgeF,3,FALSE),IF(FacingSheet!$B$11=25,VLOOKUP(Q181,AgeF,4,FALSE),IF(FacingSheet!$B$11=30,VLOOKUP(Q181,AgeF,5,FALSE),IF(FacingSheet!$B$11=50,VLOOKUP(Q181,AgeF,6,FALSE),IF(FacingSheet!$B$11=100,VLOOKUP(Q181,AgeF,7,FALSE),"")))))))</f>
        <v/>
      </c>
      <c r="T181" s="108" t="str">
        <f t="shared" si="8"/>
        <v/>
      </c>
    </row>
    <row r="182" spans="1:20">
      <c r="A182" s="36"/>
      <c r="B182" s="133"/>
      <c r="C182" s="133"/>
      <c r="D182" s="1" t="str">
        <f t="shared" si="7"/>
        <v xml:space="preserve"> </v>
      </c>
      <c r="E182" s="29"/>
      <c r="F182" s="29"/>
      <c r="G182" s="29"/>
      <c r="H182" s="99"/>
      <c r="I182" s="131"/>
      <c r="J182" s="100" t="str">
        <f>IF(FacingSheet!$B$11=10,IF(ISERROR(((((H182*1440)-20)*60)-(((H182*1440)-20)^1.6)*2.5)/86400),"",((((H182*1440)-20)*60)-(((H182*1440)-20)^1.6)*2.5)/86400),"")</f>
        <v/>
      </c>
      <c r="K182" s="100" t="str">
        <f>IF(FacingSheet!$B$11=15,IF(ISERROR(((((H182*1440)-33)*60)-(((H182*1440)-33)^1.6)*1.667)/86400),"",((((H182*1440)-33)*60)-(((H182*1440)-33)^1.6)*1.667)/86400),"")</f>
        <v/>
      </c>
      <c r="L182" s="100" t="str">
        <f>IF(FacingSheet!$B$11=25,IF(ISERROR(((((H182*1440)-50)*60)-(((H182*1440)-50)^1.6))/86400),"",((((H182*1440)-50)*60)-(((H182*1440)-50)^1.6))/86400),"")</f>
        <v/>
      </c>
      <c r="M182" s="100" t="str">
        <f>IF(FacingSheet!$B$11=30,IF(ISERROR(((((H182*1440)-60)*60)-((((H182*1440)-60)^1.6))/1.2)/86400),"",((((H182*1440)-60)*60)-((((H182*1440)-60)^1.6))/1.2)/86400),"")</f>
        <v/>
      </c>
      <c r="N182" s="100" t="str">
        <f>IF(FacingSheet!$B$11=50,IF(ISERROR(((((H182*1440)-105)*60)-((((H182*1440)-105)^1.6))/2)/86400),"",((((H182*1440)-105)*60)-((((H182*1440)-105)^1.6))/2)/86400),"")</f>
        <v/>
      </c>
      <c r="O182" s="100" t="str">
        <f>IF(FacingSheet!$B$11=100,IF(ISERROR(((((H182*1440)-230)*60)-((((H182*1440)-230)^1.6))/4)/86400),"",((((H182*1440)-230)*60)-((((H182*1440)-230)^1.6))/4)/86400),"")</f>
        <v/>
      </c>
      <c r="P182" s="108" t="str">
        <f>IF(FacingSheet!$B$11=10,J182,IF(FacingSheet!$B$11=15,K182,IF(FacingSheet!$B$11=25,L182,IF(FacingSheet!$B$11=30,M182,IF(FacingSheet!$B$11=50,N182,IF(FacingSheet!$B$11=100,O182,""))))))</f>
        <v/>
      </c>
      <c r="Q182" s="65" t="str">
        <f>IF(OR(F182="V",F182="FV"),IF(I182="","",IF(MONTH(FacingSheet!$S$9)&gt;MONTH(I182),YEAR(FacingSheet!$S$9)-YEAR(I182),IF(AND(MONTH(FacingSheet!$S$9)=MONTH(I182),DAY(FacingSheet!$S$9)&gt;=DAY(I182)),YEAR(FacingSheet!$S$9)-YEAR(I182),(YEAR(FacingSheet!$S$9)-YEAR(I182))-1))),"")</f>
        <v/>
      </c>
      <c r="R182" s="108" t="str">
        <f>IF(Q182="","",IF(FacingSheet!$B$11=10,VLOOKUP(Q182,Age,2,FALSE),IF(FacingSheet!$B$11=15,VLOOKUP(Q182,Age,3,FALSE),IF(FacingSheet!$B$11=25,VLOOKUP(Q182,Age,4,FALSE),IF(FacingSheet!$B$11=30,VLOOKUP(Q182,Age,5,FALSE),IF(FacingSheet!$B$11=50,VLOOKUP(Q182,Age,6,FALSE),IF(FacingSheet!$B$11=100,VLOOKUP(Q182,Age,7,FALSE),"")))))))</f>
        <v/>
      </c>
      <c r="S182" s="108" t="str">
        <f>IF(Q182="","",IF(FacingSheet!$B$11=10,VLOOKUP(Q182,AgeF,2,FALSE),IF(FacingSheet!$B$11=15,VLOOKUP(Q182,AgeF,3,FALSE),IF(FacingSheet!$B$11=25,VLOOKUP(Q182,AgeF,4,FALSE),IF(FacingSheet!$B$11=30,VLOOKUP(Q182,AgeF,5,FALSE),IF(FacingSheet!$B$11=50,VLOOKUP(Q182,AgeF,6,FALSE),IF(FacingSheet!$B$11=100,VLOOKUP(Q182,AgeF,7,FALSE),"")))))))</f>
        <v/>
      </c>
      <c r="T182" s="108" t="str">
        <f t="shared" si="8"/>
        <v/>
      </c>
    </row>
    <row r="183" spans="1:20">
      <c r="A183" s="36"/>
      <c r="B183" s="133"/>
      <c r="C183" s="133"/>
      <c r="D183" s="1" t="str">
        <f t="shared" si="7"/>
        <v xml:space="preserve"> </v>
      </c>
      <c r="E183" s="29"/>
      <c r="F183" s="29"/>
      <c r="G183" s="29"/>
      <c r="H183" s="193"/>
      <c r="I183" s="131"/>
      <c r="J183" s="100" t="str">
        <f>IF(FacingSheet!$B$11=10,IF(ISERROR(((((H183*1440)-20)*60)-(((H183*1440)-20)^1.6)*2.5)/86400),"",((((H183*1440)-20)*60)-(((H183*1440)-20)^1.6)*2.5)/86400),"")</f>
        <v/>
      </c>
      <c r="K183" s="100" t="str">
        <f>IF(FacingSheet!$B$11=15,IF(ISERROR(((((H183*1440)-33)*60)-(((H183*1440)-33)^1.6)*1.667)/86400),"",((((H183*1440)-33)*60)-(((H183*1440)-33)^1.6)*1.667)/86400),"")</f>
        <v/>
      </c>
      <c r="L183" s="100" t="str">
        <f>IF(FacingSheet!$B$11=25,IF(ISERROR(((((H183*1440)-50)*60)-(((H183*1440)-50)^1.6))/86400),"",((((H183*1440)-50)*60)-(((H183*1440)-50)^1.6))/86400),"")</f>
        <v/>
      </c>
      <c r="M183" s="100" t="str">
        <f>IF(FacingSheet!$B$11=30,IF(ISERROR(((((H183*1440)-60)*60)-((((H183*1440)-60)^1.6))/1.2)/86400),"",((((H183*1440)-60)*60)-((((H183*1440)-60)^1.6))/1.2)/86400),"")</f>
        <v/>
      </c>
      <c r="N183" s="100" t="str">
        <f>IF(FacingSheet!$B$11=50,IF(ISERROR(((((H183*1440)-105)*60)-((((H183*1440)-105)^1.6))/2)/86400),"",((((H183*1440)-105)*60)-((((H183*1440)-105)^1.6))/2)/86400),"")</f>
        <v/>
      </c>
      <c r="O183" s="100" t="str">
        <f>IF(FacingSheet!$B$11=100,IF(ISERROR(((((H183*1440)-230)*60)-((((H183*1440)-230)^1.6))/4)/86400),"",((((H183*1440)-230)*60)-((((H183*1440)-230)^1.6))/4)/86400),"")</f>
        <v/>
      </c>
      <c r="P183" s="108" t="str">
        <f>IF(FacingSheet!$B$11=10,J183,IF(FacingSheet!$B$11=15,K183,IF(FacingSheet!$B$11=25,L183,IF(FacingSheet!$B$11=30,M183,IF(FacingSheet!$B$11=50,N183,IF(FacingSheet!$B$11=100,O183,""))))))</f>
        <v/>
      </c>
      <c r="Q183" s="65" t="str">
        <f>IF(OR(F183="V",F183="FV"),IF(I183="","",IF(MONTH(FacingSheet!$S$9)&gt;MONTH(I183),YEAR(FacingSheet!$S$9)-YEAR(I183),IF(AND(MONTH(FacingSheet!$S$9)=MONTH(I183),DAY(FacingSheet!$S$9)&gt;=DAY(I183)),YEAR(FacingSheet!$S$9)-YEAR(I183),(YEAR(FacingSheet!$S$9)-YEAR(I183))-1))),"")</f>
        <v/>
      </c>
      <c r="R183" s="108" t="str">
        <f>IF(Q183="","",IF(FacingSheet!$B$11=10,VLOOKUP(Q183,Age,2,FALSE),IF(FacingSheet!$B$11=15,VLOOKUP(Q183,Age,3,FALSE),IF(FacingSheet!$B$11=25,VLOOKUP(Q183,Age,4,FALSE),IF(FacingSheet!$B$11=30,VLOOKUP(Q183,Age,5,FALSE),IF(FacingSheet!$B$11=50,VLOOKUP(Q183,Age,6,FALSE),IF(FacingSheet!$B$11=100,VLOOKUP(Q183,Age,7,FALSE),"")))))))</f>
        <v/>
      </c>
      <c r="S183" s="108" t="str">
        <f>IF(Q183="","",IF(FacingSheet!$B$11=10,VLOOKUP(Q183,AgeF,2,FALSE),IF(FacingSheet!$B$11=15,VLOOKUP(Q183,AgeF,3,FALSE),IF(FacingSheet!$B$11=25,VLOOKUP(Q183,AgeF,4,FALSE),IF(FacingSheet!$B$11=30,VLOOKUP(Q183,AgeF,5,FALSE),IF(FacingSheet!$B$11=50,VLOOKUP(Q183,AgeF,6,FALSE),IF(FacingSheet!$B$11=100,VLOOKUP(Q183,AgeF,7,FALSE),"")))))))</f>
        <v/>
      </c>
      <c r="T183" s="108" t="str">
        <f t="shared" si="8"/>
        <v/>
      </c>
    </row>
    <row r="184" spans="1:20">
      <c r="A184" s="36"/>
      <c r="B184" s="133"/>
      <c r="C184" s="133"/>
      <c r="D184" s="1" t="str">
        <f t="shared" si="7"/>
        <v xml:space="preserve"> </v>
      </c>
      <c r="E184" s="29"/>
      <c r="F184" s="29"/>
      <c r="G184" s="29"/>
      <c r="H184" s="193"/>
      <c r="I184" s="131"/>
      <c r="J184" s="100" t="str">
        <f>IF(FacingSheet!$B$11=10,IF(ISERROR(((((H184*1440)-20)*60)-(((H184*1440)-20)^1.6)*2.5)/86400),"",((((H184*1440)-20)*60)-(((H184*1440)-20)^1.6)*2.5)/86400),"")</f>
        <v/>
      </c>
      <c r="K184" s="100" t="str">
        <f>IF(FacingSheet!$B$11=15,IF(ISERROR(((((H184*1440)-33)*60)-(((H184*1440)-33)^1.6)*1.667)/86400),"",((((H184*1440)-33)*60)-(((H184*1440)-33)^1.6)*1.667)/86400),"")</f>
        <v/>
      </c>
      <c r="L184" s="100" t="str">
        <f>IF(FacingSheet!$B$11=25,IF(ISERROR(((((H184*1440)-50)*60)-(((H184*1440)-50)^1.6))/86400),"",((((H184*1440)-50)*60)-(((H184*1440)-50)^1.6))/86400),"")</f>
        <v/>
      </c>
      <c r="M184" s="100" t="str">
        <f>IF(FacingSheet!$B$11=30,IF(ISERROR(((((H184*1440)-60)*60)-((((H184*1440)-60)^1.6))/1.2)/86400),"",((((H184*1440)-60)*60)-((((H184*1440)-60)^1.6))/1.2)/86400),"")</f>
        <v/>
      </c>
      <c r="N184" s="100" t="str">
        <f>IF(FacingSheet!$B$11=50,IF(ISERROR(((((H184*1440)-105)*60)-((((H184*1440)-105)^1.6))/2)/86400),"",((((H184*1440)-105)*60)-((((H184*1440)-105)^1.6))/2)/86400),"")</f>
        <v/>
      </c>
      <c r="O184" s="100" t="str">
        <f>IF(FacingSheet!$B$11=100,IF(ISERROR(((((H184*1440)-230)*60)-((((H184*1440)-230)^1.6))/4)/86400),"",((((H184*1440)-230)*60)-((((H184*1440)-230)^1.6))/4)/86400),"")</f>
        <v/>
      </c>
      <c r="P184" s="108" t="str">
        <f>IF(FacingSheet!$B$11=10,J184,IF(FacingSheet!$B$11=15,K184,IF(FacingSheet!$B$11=25,L184,IF(FacingSheet!$B$11=30,M184,IF(FacingSheet!$B$11=50,N184,IF(FacingSheet!$B$11=100,O184,""))))))</f>
        <v/>
      </c>
      <c r="Q184" s="65" t="str">
        <f>IF(OR(F184="V",F184="FV"),IF(I184="","",IF(MONTH(FacingSheet!$S$9)&gt;MONTH(I184),YEAR(FacingSheet!$S$9)-YEAR(I184),IF(AND(MONTH(FacingSheet!$S$9)=MONTH(I184),DAY(FacingSheet!$S$9)&gt;=DAY(I184)),YEAR(FacingSheet!$S$9)-YEAR(I184),(YEAR(FacingSheet!$S$9)-YEAR(I184))-1))),"")</f>
        <v/>
      </c>
      <c r="R184" s="108" t="str">
        <f>IF(Q184="","",IF(FacingSheet!$B$11=10,VLOOKUP(Q184,Age,2,FALSE),IF(FacingSheet!$B$11=15,VLOOKUP(Q184,Age,3,FALSE),IF(FacingSheet!$B$11=25,VLOOKUP(Q184,Age,4,FALSE),IF(FacingSheet!$B$11=30,VLOOKUP(Q184,Age,5,FALSE),IF(FacingSheet!$B$11=50,VLOOKUP(Q184,Age,6,FALSE),IF(FacingSheet!$B$11=100,VLOOKUP(Q184,Age,7,FALSE),"")))))))</f>
        <v/>
      </c>
      <c r="S184" s="108" t="str">
        <f>IF(Q184="","",IF(FacingSheet!$B$11=10,VLOOKUP(Q184,AgeF,2,FALSE),IF(FacingSheet!$B$11=15,VLOOKUP(Q184,AgeF,3,FALSE),IF(FacingSheet!$B$11=25,VLOOKUP(Q184,AgeF,4,FALSE),IF(FacingSheet!$B$11=30,VLOOKUP(Q184,AgeF,5,FALSE),IF(FacingSheet!$B$11=50,VLOOKUP(Q184,AgeF,6,FALSE),IF(FacingSheet!$B$11=100,VLOOKUP(Q184,AgeF,7,FALSE),"")))))))</f>
        <v/>
      </c>
      <c r="T184" s="108" t="str">
        <f t="shared" si="8"/>
        <v/>
      </c>
    </row>
    <row r="185" spans="1:20">
      <c r="A185" s="36"/>
      <c r="B185" s="133"/>
      <c r="C185" s="133"/>
      <c r="D185" s="1" t="str">
        <f t="shared" si="7"/>
        <v xml:space="preserve"> </v>
      </c>
      <c r="E185" s="29"/>
      <c r="F185" s="29"/>
      <c r="G185" s="29"/>
      <c r="H185" s="99"/>
      <c r="I185" s="131"/>
      <c r="J185" s="100" t="str">
        <f>IF(FacingSheet!$B$11=10,IF(ISERROR(((((H185*1440)-20)*60)-(((H185*1440)-20)^1.6)*2.5)/86400),"",((((H185*1440)-20)*60)-(((H185*1440)-20)^1.6)*2.5)/86400),"")</f>
        <v/>
      </c>
      <c r="K185" s="100" t="str">
        <f>IF(FacingSheet!$B$11=15,IF(ISERROR(((((H185*1440)-33)*60)-(((H185*1440)-33)^1.6)*1.667)/86400),"",((((H185*1440)-33)*60)-(((H185*1440)-33)^1.6)*1.667)/86400),"")</f>
        <v/>
      </c>
      <c r="L185" s="100" t="str">
        <f>IF(FacingSheet!$B$11=25,IF(ISERROR(((((H185*1440)-50)*60)-(((H185*1440)-50)^1.6))/86400),"",((((H185*1440)-50)*60)-(((H185*1440)-50)^1.6))/86400),"")</f>
        <v/>
      </c>
      <c r="M185" s="100" t="str">
        <f>IF(FacingSheet!$B$11=30,IF(ISERROR(((((H185*1440)-60)*60)-((((H185*1440)-60)^1.6))/1.2)/86400),"",((((H185*1440)-60)*60)-((((H185*1440)-60)^1.6))/1.2)/86400),"")</f>
        <v/>
      </c>
      <c r="N185" s="100" t="str">
        <f>IF(FacingSheet!$B$11=50,IF(ISERROR(((((H185*1440)-105)*60)-((((H185*1440)-105)^1.6))/2)/86400),"",((((H185*1440)-105)*60)-((((H185*1440)-105)^1.6))/2)/86400),"")</f>
        <v/>
      </c>
      <c r="O185" s="100" t="str">
        <f>IF(FacingSheet!$B$11=100,IF(ISERROR(((((H185*1440)-230)*60)-((((H185*1440)-230)^1.6))/4)/86400),"",((((H185*1440)-230)*60)-((((H185*1440)-230)^1.6))/4)/86400),"")</f>
        <v/>
      </c>
      <c r="P185" s="108" t="str">
        <f>IF(FacingSheet!$B$11=10,J185,IF(FacingSheet!$B$11=15,K185,IF(FacingSheet!$B$11=25,L185,IF(FacingSheet!$B$11=30,M185,IF(FacingSheet!$B$11=50,N185,IF(FacingSheet!$B$11=100,O185,""))))))</f>
        <v/>
      </c>
      <c r="Q185" s="65" t="str">
        <f>IF(OR(F185="V",F185="FV"),IF(I185="","",IF(MONTH(FacingSheet!$S$9)&gt;MONTH(I185),YEAR(FacingSheet!$S$9)-YEAR(I185),IF(AND(MONTH(FacingSheet!$S$9)=MONTH(I185),DAY(FacingSheet!$S$9)&gt;=DAY(I185)),YEAR(FacingSheet!$S$9)-YEAR(I185),(YEAR(FacingSheet!$S$9)-YEAR(I185))-1))),"")</f>
        <v/>
      </c>
      <c r="R185" s="108" t="str">
        <f>IF(Q185="","",IF(FacingSheet!$B$11=10,VLOOKUP(Q185,Age,2,FALSE),IF(FacingSheet!$B$11=15,VLOOKUP(Q185,Age,3,FALSE),IF(FacingSheet!$B$11=25,VLOOKUP(Q185,Age,4,FALSE),IF(FacingSheet!$B$11=30,VLOOKUP(Q185,Age,5,FALSE),IF(FacingSheet!$B$11=50,VLOOKUP(Q185,Age,6,FALSE),IF(FacingSheet!$B$11=100,VLOOKUP(Q185,Age,7,FALSE),"")))))))</f>
        <v/>
      </c>
      <c r="S185" s="108" t="str">
        <f>IF(Q185="","",IF(FacingSheet!$B$11=10,VLOOKUP(Q185,AgeF,2,FALSE),IF(FacingSheet!$B$11=15,VLOOKUP(Q185,AgeF,3,FALSE),IF(FacingSheet!$B$11=25,VLOOKUP(Q185,AgeF,4,FALSE),IF(FacingSheet!$B$11=30,VLOOKUP(Q185,AgeF,5,FALSE),IF(FacingSheet!$B$11=50,VLOOKUP(Q185,AgeF,6,FALSE),IF(FacingSheet!$B$11=100,VLOOKUP(Q185,AgeF,7,FALSE),"")))))))</f>
        <v/>
      </c>
      <c r="T185" s="108" t="str">
        <f t="shared" si="8"/>
        <v/>
      </c>
    </row>
    <row r="186" spans="1:20">
      <c r="A186" s="36"/>
      <c r="B186" s="133"/>
      <c r="C186" s="133"/>
      <c r="D186" s="1" t="str">
        <f t="shared" si="7"/>
        <v xml:space="preserve"> </v>
      </c>
      <c r="E186" s="29"/>
      <c r="F186" s="29"/>
      <c r="G186" s="29"/>
      <c r="H186" s="193"/>
      <c r="I186" s="131"/>
      <c r="J186" s="100" t="str">
        <f>IF(FacingSheet!$B$11=10,IF(ISERROR(((((H186*1440)-20)*60)-(((H186*1440)-20)^1.6)*2.5)/86400),"",((((H186*1440)-20)*60)-(((H186*1440)-20)^1.6)*2.5)/86400),"")</f>
        <v/>
      </c>
      <c r="K186" s="100" t="str">
        <f>IF(FacingSheet!$B$11=15,IF(ISERROR(((((H186*1440)-33)*60)-(((H186*1440)-33)^1.6)*1.667)/86400),"",((((H186*1440)-33)*60)-(((H186*1440)-33)^1.6)*1.667)/86400),"")</f>
        <v/>
      </c>
      <c r="L186" s="100" t="str">
        <f>IF(FacingSheet!$B$11=25,IF(ISERROR(((((H186*1440)-50)*60)-(((H186*1440)-50)^1.6))/86400),"",((((H186*1440)-50)*60)-(((H186*1440)-50)^1.6))/86400),"")</f>
        <v/>
      </c>
      <c r="M186" s="100" t="str">
        <f>IF(FacingSheet!$B$11=30,IF(ISERROR(((((H186*1440)-60)*60)-((((H186*1440)-60)^1.6))/1.2)/86400),"",((((H186*1440)-60)*60)-((((H186*1440)-60)^1.6))/1.2)/86400),"")</f>
        <v/>
      </c>
      <c r="N186" s="100" t="str">
        <f>IF(FacingSheet!$B$11=50,IF(ISERROR(((((H186*1440)-105)*60)-((((H186*1440)-105)^1.6))/2)/86400),"",((((H186*1440)-105)*60)-((((H186*1440)-105)^1.6))/2)/86400),"")</f>
        <v/>
      </c>
      <c r="O186" s="100" t="str">
        <f>IF(FacingSheet!$B$11=100,IF(ISERROR(((((H186*1440)-230)*60)-((((H186*1440)-230)^1.6))/4)/86400),"",((((H186*1440)-230)*60)-((((H186*1440)-230)^1.6))/4)/86400),"")</f>
        <v/>
      </c>
      <c r="P186" s="108" t="str">
        <f>IF(FacingSheet!$B$11=10,J186,IF(FacingSheet!$B$11=15,K186,IF(FacingSheet!$B$11=25,L186,IF(FacingSheet!$B$11=30,M186,IF(FacingSheet!$B$11=50,N186,IF(FacingSheet!$B$11=100,O186,""))))))</f>
        <v/>
      </c>
      <c r="Q186" s="65" t="str">
        <f>IF(OR(F186="V",F186="FV"),IF(I186="","",IF(MONTH(FacingSheet!$S$9)&gt;MONTH(I186),YEAR(FacingSheet!$S$9)-YEAR(I186),IF(AND(MONTH(FacingSheet!$S$9)=MONTH(I186),DAY(FacingSheet!$S$9)&gt;=DAY(I186)),YEAR(FacingSheet!$S$9)-YEAR(I186),(YEAR(FacingSheet!$S$9)-YEAR(I186))-1))),"")</f>
        <v/>
      </c>
      <c r="R186" s="108" t="str">
        <f>IF(Q186="","",IF(FacingSheet!$B$11=10,VLOOKUP(Q186,Age,2,FALSE),IF(FacingSheet!$B$11=15,VLOOKUP(Q186,Age,3,FALSE),IF(FacingSheet!$B$11=25,VLOOKUP(Q186,Age,4,FALSE),IF(FacingSheet!$B$11=30,VLOOKUP(Q186,Age,5,FALSE),IF(FacingSheet!$B$11=50,VLOOKUP(Q186,Age,6,FALSE),IF(FacingSheet!$B$11=100,VLOOKUP(Q186,Age,7,FALSE),"")))))))</f>
        <v/>
      </c>
      <c r="S186" s="108" t="str">
        <f>IF(Q186="","",IF(FacingSheet!$B$11=10,VLOOKUP(Q186,AgeF,2,FALSE),IF(FacingSheet!$B$11=15,VLOOKUP(Q186,AgeF,3,FALSE),IF(FacingSheet!$B$11=25,VLOOKUP(Q186,AgeF,4,FALSE),IF(FacingSheet!$B$11=30,VLOOKUP(Q186,AgeF,5,FALSE),IF(FacingSheet!$B$11=50,VLOOKUP(Q186,AgeF,6,FALSE),IF(FacingSheet!$B$11=100,VLOOKUP(Q186,AgeF,7,FALSE),"")))))))</f>
        <v/>
      </c>
      <c r="T186" s="108" t="str">
        <f t="shared" si="8"/>
        <v/>
      </c>
    </row>
    <row r="187" spans="1:20">
      <c r="A187" s="36"/>
      <c r="B187" s="133"/>
      <c r="C187" s="133"/>
      <c r="D187" s="1" t="str">
        <f t="shared" si="7"/>
        <v xml:space="preserve"> </v>
      </c>
      <c r="E187" s="29"/>
      <c r="F187" s="29"/>
      <c r="G187" s="29"/>
      <c r="H187" s="193"/>
      <c r="I187" s="131"/>
      <c r="J187" s="100" t="str">
        <f>IF(FacingSheet!$B$11=10,IF(ISERROR(((((H187*1440)-20)*60)-(((H187*1440)-20)^1.6)*2.5)/86400),"",((((H187*1440)-20)*60)-(((H187*1440)-20)^1.6)*2.5)/86400),"")</f>
        <v/>
      </c>
      <c r="K187" s="100" t="str">
        <f>IF(FacingSheet!$B$11=15,IF(ISERROR(((((H187*1440)-33)*60)-(((H187*1440)-33)^1.6)*1.667)/86400),"",((((H187*1440)-33)*60)-(((H187*1440)-33)^1.6)*1.667)/86400),"")</f>
        <v/>
      </c>
      <c r="L187" s="100" t="str">
        <f>IF(FacingSheet!$B$11=25,IF(ISERROR(((((H187*1440)-50)*60)-(((H187*1440)-50)^1.6))/86400),"",((((H187*1440)-50)*60)-(((H187*1440)-50)^1.6))/86400),"")</f>
        <v/>
      </c>
      <c r="M187" s="100" t="str">
        <f>IF(FacingSheet!$B$11=30,IF(ISERROR(((((H187*1440)-60)*60)-((((H187*1440)-60)^1.6))/1.2)/86400),"",((((H187*1440)-60)*60)-((((H187*1440)-60)^1.6))/1.2)/86400),"")</f>
        <v/>
      </c>
      <c r="N187" s="100" t="str">
        <f>IF(FacingSheet!$B$11=50,IF(ISERROR(((((H187*1440)-105)*60)-((((H187*1440)-105)^1.6))/2)/86400),"",((((H187*1440)-105)*60)-((((H187*1440)-105)^1.6))/2)/86400),"")</f>
        <v/>
      </c>
      <c r="O187" s="100" t="str">
        <f>IF(FacingSheet!$B$11=100,IF(ISERROR(((((H187*1440)-230)*60)-((((H187*1440)-230)^1.6))/4)/86400),"",((((H187*1440)-230)*60)-((((H187*1440)-230)^1.6))/4)/86400),"")</f>
        <v/>
      </c>
      <c r="P187" s="108" t="str">
        <f>IF(FacingSheet!$B$11=10,J187,IF(FacingSheet!$B$11=15,K187,IF(FacingSheet!$B$11=25,L187,IF(FacingSheet!$B$11=30,M187,IF(FacingSheet!$B$11=50,N187,IF(FacingSheet!$B$11=100,O187,""))))))</f>
        <v/>
      </c>
      <c r="Q187" s="65" t="str">
        <f>IF(OR(F187="V",F187="FV"),IF(I187="","",IF(MONTH(FacingSheet!$S$9)&gt;MONTH(I187),YEAR(FacingSheet!$S$9)-YEAR(I187),IF(AND(MONTH(FacingSheet!$S$9)=MONTH(I187),DAY(FacingSheet!$S$9)&gt;=DAY(I187)),YEAR(FacingSheet!$S$9)-YEAR(I187),(YEAR(FacingSheet!$S$9)-YEAR(I187))-1))),"")</f>
        <v/>
      </c>
      <c r="R187" s="108" t="str">
        <f>IF(Q187="","",IF(FacingSheet!$B$11=10,VLOOKUP(Q187,Age,2,FALSE),IF(FacingSheet!$B$11=15,VLOOKUP(Q187,Age,3,FALSE),IF(FacingSheet!$B$11=25,VLOOKUP(Q187,Age,4,FALSE),IF(FacingSheet!$B$11=30,VLOOKUP(Q187,Age,5,FALSE),IF(FacingSheet!$B$11=50,VLOOKUP(Q187,Age,6,FALSE),IF(FacingSheet!$B$11=100,VLOOKUP(Q187,Age,7,FALSE),"")))))))</f>
        <v/>
      </c>
      <c r="S187" s="108" t="str">
        <f>IF(Q187="","",IF(FacingSheet!$B$11=10,VLOOKUP(Q187,AgeF,2,FALSE),IF(FacingSheet!$B$11=15,VLOOKUP(Q187,AgeF,3,FALSE),IF(FacingSheet!$B$11=25,VLOOKUP(Q187,AgeF,4,FALSE),IF(FacingSheet!$B$11=30,VLOOKUP(Q187,AgeF,5,FALSE),IF(FacingSheet!$B$11=50,VLOOKUP(Q187,AgeF,6,FALSE),IF(FacingSheet!$B$11=100,VLOOKUP(Q187,AgeF,7,FALSE),"")))))))</f>
        <v/>
      </c>
      <c r="T187" s="108" t="str">
        <f t="shared" si="8"/>
        <v/>
      </c>
    </row>
    <row r="188" spans="1:20">
      <c r="A188" s="36"/>
      <c r="B188" s="133"/>
      <c r="C188" s="133"/>
      <c r="D188" s="1" t="str">
        <f t="shared" si="7"/>
        <v xml:space="preserve"> </v>
      </c>
      <c r="E188" s="29"/>
      <c r="F188" s="29"/>
      <c r="G188" s="29"/>
      <c r="H188" s="193"/>
      <c r="I188" s="131"/>
      <c r="J188" s="100" t="str">
        <f>IF(FacingSheet!$B$11=10,IF(ISERROR(((((H188*1440)-20)*60)-(((H188*1440)-20)^1.6)*2.5)/86400),"",((((H188*1440)-20)*60)-(((H188*1440)-20)^1.6)*2.5)/86400),"")</f>
        <v/>
      </c>
      <c r="K188" s="100" t="str">
        <f>IF(FacingSheet!$B$11=15,IF(ISERROR(((((H188*1440)-33)*60)-(((H188*1440)-33)^1.6)*1.667)/86400),"",((((H188*1440)-33)*60)-(((H188*1440)-33)^1.6)*1.667)/86400),"")</f>
        <v/>
      </c>
      <c r="L188" s="100" t="str">
        <f>IF(FacingSheet!$B$11=25,IF(ISERROR(((((H188*1440)-50)*60)-(((H188*1440)-50)^1.6))/86400),"",((((H188*1440)-50)*60)-(((H188*1440)-50)^1.6))/86400),"")</f>
        <v/>
      </c>
      <c r="M188" s="100" t="str">
        <f>IF(FacingSheet!$B$11=30,IF(ISERROR(((((H188*1440)-60)*60)-((((H188*1440)-60)^1.6))/1.2)/86400),"",((((H188*1440)-60)*60)-((((H188*1440)-60)^1.6))/1.2)/86400),"")</f>
        <v/>
      </c>
      <c r="N188" s="100" t="str">
        <f>IF(FacingSheet!$B$11=50,IF(ISERROR(((((H188*1440)-105)*60)-((((H188*1440)-105)^1.6))/2)/86400),"",((((H188*1440)-105)*60)-((((H188*1440)-105)^1.6))/2)/86400),"")</f>
        <v/>
      </c>
      <c r="O188" s="100" t="str">
        <f>IF(FacingSheet!$B$11=100,IF(ISERROR(((((H188*1440)-230)*60)-((((H188*1440)-230)^1.6))/4)/86400),"",((((H188*1440)-230)*60)-((((H188*1440)-230)^1.6))/4)/86400),"")</f>
        <v/>
      </c>
      <c r="P188" s="108" t="str">
        <f>IF(FacingSheet!$B$11=10,J188,IF(FacingSheet!$B$11=15,K188,IF(FacingSheet!$B$11=25,L188,IF(FacingSheet!$B$11=30,M188,IF(FacingSheet!$B$11=50,N188,IF(FacingSheet!$B$11=100,O188,""))))))</f>
        <v/>
      </c>
      <c r="Q188" s="65" t="str">
        <f>IF(OR(F188="V",F188="FV"),IF(I188="","",IF(MONTH(FacingSheet!$S$9)&gt;MONTH(I188),YEAR(FacingSheet!$S$9)-YEAR(I188),IF(AND(MONTH(FacingSheet!$S$9)=MONTH(I188),DAY(FacingSheet!$S$9)&gt;=DAY(I188)),YEAR(FacingSheet!$S$9)-YEAR(I188),(YEAR(FacingSheet!$S$9)-YEAR(I188))-1))),"")</f>
        <v/>
      </c>
      <c r="R188" s="108" t="str">
        <f>IF(Q188="","",IF(FacingSheet!$B$11=10,VLOOKUP(Q188,Age,2,FALSE),IF(FacingSheet!$B$11=15,VLOOKUP(Q188,Age,3,FALSE),IF(FacingSheet!$B$11=25,VLOOKUP(Q188,Age,4,FALSE),IF(FacingSheet!$B$11=30,VLOOKUP(Q188,Age,5,FALSE),IF(FacingSheet!$B$11=50,VLOOKUP(Q188,Age,6,FALSE),IF(FacingSheet!$B$11=100,VLOOKUP(Q188,Age,7,FALSE),"")))))))</f>
        <v/>
      </c>
      <c r="S188" s="108" t="str">
        <f>IF(Q188="","",IF(FacingSheet!$B$11=10,VLOOKUP(Q188,AgeF,2,FALSE),IF(FacingSheet!$B$11=15,VLOOKUP(Q188,AgeF,3,FALSE),IF(FacingSheet!$B$11=25,VLOOKUP(Q188,AgeF,4,FALSE),IF(FacingSheet!$B$11=30,VLOOKUP(Q188,AgeF,5,FALSE),IF(FacingSheet!$B$11=50,VLOOKUP(Q188,AgeF,6,FALSE),IF(FacingSheet!$B$11=100,VLOOKUP(Q188,AgeF,7,FALSE),"")))))))</f>
        <v/>
      </c>
      <c r="T188" s="108" t="str">
        <f t="shared" si="8"/>
        <v/>
      </c>
    </row>
    <row r="189" spans="1:20">
      <c r="A189" s="36"/>
      <c r="B189" s="133"/>
      <c r="C189" s="133"/>
      <c r="D189" s="1" t="str">
        <f t="shared" si="7"/>
        <v xml:space="preserve"> </v>
      </c>
      <c r="E189" s="29"/>
      <c r="F189" s="29"/>
      <c r="G189" s="29"/>
      <c r="H189" s="193"/>
      <c r="I189" s="131"/>
      <c r="J189" s="100" t="str">
        <f>IF(FacingSheet!$B$11=10,IF(ISERROR(((((H189*1440)-20)*60)-(((H189*1440)-20)^1.6)*2.5)/86400),"",((((H189*1440)-20)*60)-(((H189*1440)-20)^1.6)*2.5)/86400),"")</f>
        <v/>
      </c>
      <c r="K189" s="100" t="str">
        <f>IF(FacingSheet!$B$11=15,IF(ISERROR(((((H189*1440)-33)*60)-(((H189*1440)-33)^1.6)*1.667)/86400),"",((((H189*1440)-33)*60)-(((H189*1440)-33)^1.6)*1.667)/86400),"")</f>
        <v/>
      </c>
      <c r="L189" s="100" t="str">
        <f>IF(FacingSheet!$B$11=25,IF(ISERROR(((((H189*1440)-50)*60)-(((H189*1440)-50)^1.6))/86400),"",((((H189*1440)-50)*60)-(((H189*1440)-50)^1.6))/86400),"")</f>
        <v/>
      </c>
      <c r="M189" s="100" t="str">
        <f>IF(FacingSheet!$B$11=30,IF(ISERROR(((((H189*1440)-60)*60)-((((H189*1440)-60)^1.6))/1.2)/86400),"",((((H189*1440)-60)*60)-((((H189*1440)-60)^1.6))/1.2)/86400),"")</f>
        <v/>
      </c>
      <c r="N189" s="100" t="str">
        <f>IF(FacingSheet!$B$11=50,IF(ISERROR(((((H189*1440)-105)*60)-((((H189*1440)-105)^1.6))/2)/86400),"",((((H189*1440)-105)*60)-((((H189*1440)-105)^1.6))/2)/86400),"")</f>
        <v/>
      </c>
      <c r="O189" s="100" t="str">
        <f>IF(FacingSheet!$B$11=100,IF(ISERROR(((((H189*1440)-230)*60)-((((H189*1440)-230)^1.6))/4)/86400),"",((((H189*1440)-230)*60)-((((H189*1440)-230)^1.6))/4)/86400),"")</f>
        <v/>
      </c>
      <c r="P189" s="108" t="str">
        <f>IF(FacingSheet!$B$11=10,J189,IF(FacingSheet!$B$11=15,K189,IF(FacingSheet!$B$11=25,L189,IF(FacingSheet!$B$11=30,M189,IF(FacingSheet!$B$11=50,N189,IF(FacingSheet!$B$11=100,O189,""))))))</f>
        <v/>
      </c>
      <c r="Q189" s="65" t="str">
        <f>IF(OR(F189="V",F189="FV"),IF(I189="","",IF(MONTH(FacingSheet!$S$9)&gt;MONTH(I189),YEAR(FacingSheet!$S$9)-YEAR(I189),IF(AND(MONTH(FacingSheet!$S$9)=MONTH(I189),DAY(FacingSheet!$S$9)&gt;=DAY(I189)),YEAR(FacingSheet!$S$9)-YEAR(I189),(YEAR(FacingSheet!$S$9)-YEAR(I189))-1))),"")</f>
        <v/>
      </c>
      <c r="R189" s="108" t="str">
        <f>IF(Q189="","",IF(FacingSheet!$B$11=10,VLOOKUP(Q189,Age,2,FALSE),IF(FacingSheet!$B$11=15,VLOOKUP(Q189,Age,3,FALSE),IF(FacingSheet!$B$11=25,VLOOKUP(Q189,Age,4,FALSE),IF(FacingSheet!$B$11=30,VLOOKUP(Q189,Age,5,FALSE),IF(FacingSheet!$B$11=50,VLOOKUP(Q189,Age,6,FALSE),IF(FacingSheet!$B$11=100,VLOOKUP(Q189,Age,7,FALSE),"")))))))</f>
        <v/>
      </c>
      <c r="S189" s="108" t="str">
        <f>IF(Q189="","",IF(FacingSheet!$B$11=10,VLOOKUP(Q189,AgeF,2,FALSE),IF(FacingSheet!$B$11=15,VLOOKUP(Q189,AgeF,3,FALSE),IF(FacingSheet!$B$11=25,VLOOKUP(Q189,AgeF,4,FALSE),IF(FacingSheet!$B$11=30,VLOOKUP(Q189,AgeF,5,FALSE),IF(FacingSheet!$B$11=50,VLOOKUP(Q189,AgeF,6,FALSE),IF(FacingSheet!$B$11=100,VLOOKUP(Q189,AgeF,7,FALSE),"")))))))</f>
        <v/>
      </c>
      <c r="T189" s="108" t="str">
        <f t="shared" si="8"/>
        <v/>
      </c>
    </row>
    <row r="190" spans="1:20">
      <c r="A190" s="36"/>
      <c r="B190" s="133"/>
      <c r="C190" s="133"/>
      <c r="D190" s="1" t="str">
        <f t="shared" si="7"/>
        <v xml:space="preserve"> </v>
      </c>
      <c r="E190" s="29"/>
      <c r="F190" s="29"/>
      <c r="G190" s="29"/>
      <c r="H190" s="99"/>
      <c r="I190" s="131"/>
      <c r="J190" s="100" t="str">
        <f>IF(FacingSheet!$B$11=10,IF(ISERROR(((((H190*1440)-20)*60)-(((H190*1440)-20)^1.6)*2.5)/86400),"",((((H190*1440)-20)*60)-(((H190*1440)-20)^1.6)*2.5)/86400),"")</f>
        <v/>
      </c>
      <c r="K190" s="100" t="str">
        <f>IF(FacingSheet!$B$11=15,IF(ISERROR(((((H190*1440)-33)*60)-(((H190*1440)-33)^1.6)*1.667)/86400),"",((((H190*1440)-33)*60)-(((H190*1440)-33)^1.6)*1.667)/86400),"")</f>
        <v/>
      </c>
      <c r="L190" s="100" t="str">
        <f>IF(FacingSheet!$B$11=25,IF(ISERROR(((((H190*1440)-50)*60)-(((H190*1440)-50)^1.6))/86400),"",((((H190*1440)-50)*60)-(((H190*1440)-50)^1.6))/86400),"")</f>
        <v/>
      </c>
      <c r="M190" s="100" t="str">
        <f>IF(FacingSheet!$B$11=30,IF(ISERROR(((((H190*1440)-60)*60)-((((H190*1440)-60)^1.6))/1.2)/86400),"",((((H190*1440)-60)*60)-((((H190*1440)-60)^1.6))/1.2)/86400),"")</f>
        <v/>
      </c>
      <c r="N190" s="100" t="str">
        <f>IF(FacingSheet!$B$11=50,IF(ISERROR(((((H190*1440)-105)*60)-((((H190*1440)-105)^1.6))/2)/86400),"",((((H190*1440)-105)*60)-((((H190*1440)-105)^1.6))/2)/86400),"")</f>
        <v/>
      </c>
      <c r="O190" s="100" t="str">
        <f>IF(FacingSheet!$B$11=100,IF(ISERROR(((((H190*1440)-230)*60)-((((H190*1440)-230)^1.6))/4)/86400),"",((((H190*1440)-230)*60)-((((H190*1440)-230)^1.6))/4)/86400),"")</f>
        <v/>
      </c>
      <c r="P190" s="108" t="str">
        <f>IF(FacingSheet!$B$11=10,J190,IF(FacingSheet!$B$11=15,K190,IF(FacingSheet!$B$11=25,L190,IF(FacingSheet!$B$11=30,M190,IF(FacingSheet!$B$11=50,N190,IF(FacingSheet!$B$11=100,O190,""))))))</f>
        <v/>
      </c>
      <c r="Q190" s="65" t="str">
        <f>IF(OR(F190="V",F190="FV"),IF(I190="","",IF(MONTH(FacingSheet!$S$9)&gt;MONTH(I190),YEAR(FacingSheet!$S$9)-YEAR(I190),IF(AND(MONTH(FacingSheet!$S$9)=MONTH(I190),DAY(FacingSheet!$S$9)&gt;=DAY(I190)),YEAR(FacingSheet!$S$9)-YEAR(I190),(YEAR(FacingSheet!$S$9)-YEAR(I190))-1))),"")</f>
        <v/>
      </c>
      <c r="R190" s="108" t="str">
        <f>IF(Q190="","",IF(FacingSheet!$B$11=10,VLOOKUP(Q190,Age,2,FALSE),IF(FacingSheet!$B$11=15,VLOOKUP(Q190,Age,3,FALSE),IF(FacingSheet!$B$11=25,VLOOKUP(Q190,Age,4,FALSE),IF(FacingSheet!$B$11=30,VLOOKUP(Q190,Age,5,FALSE),IF(FacingSheet!$B$11=50,VLOOKUP(Q190,Age,6,FALSE),IF(FacingSheet!$B$11=100,VLOOKUP(Q190,Age,7,FALSE),"")))))))</f>
        <v/>
      </c>
      <c r="S190" s="108" t="str">
        <f>IF(Q190="","",IF(FacingSheet!$B$11=10,VLOOKUP(Q190,AgeF,2,FALSE),IF(FacingSheet!$B$11=15,VLOOKUP(Q190,AgeF,3,FALSE),IF(FacingSheet!$B$11=25,VLOOKUP(Q190,AgeF,4,FALSE),IF(FacingSheet!$B$11=30,VLOOKUP(Q190,AgeF,5,FALSE),IF(FacingSheet!$B$11=50,VLOOKUP(Q190,AgeF,6,FALSE),IF(FacingSheet!$B$11=100,VLOOKUP(Q190,AgeF,7,FALSE),"")))))))</f>
        <v/>
      </c>
      <c r="T190" s="108" t="str">
        <f t="shared" si="8"/>
        <v/>
      </c>
    </row>
    <row r="191" spans="1:20">
      <c r="A191" s="36"/>
      <c r="B191" s="133"/>
      <c r="C191" s="133"/>
      <c r="D191" s="1" t="str">
        <f t="shared" si="7"/>
        <v xml:space="preserve"> </v>
      </c>
      <c r="E191" s="29"/>
      <c r="F191" s="29"/>
      <c r="G191" s="29"/>
      <c r="H191" s="193"/>
      <c r="I191" s="131"/>
      <c r="J191" s="100" t="str">
        <f>IF(FacingSheet!$B$11=10,IF(ISERROR(((((H191*1440)-20)*60)-(((H191*1440)-20)^1.6)*2.5)/86400),"",((((H191*1440)-20)*60)-(((H191*1440)-20)^1.6)*2.5)/86400),"")</f>
        <v/>
      </c>
      <c r="K191" s="100" t="str">
        <f>IF(FacingSheet!$B$11=15,IF(ISERROR(((((H191*1440)-33)*60)-(((H191*1440)-33)^1.6)*1.667)/86400),"",((((H191*1440)-33)*60)-(((H191*1440)-33)^1.6)*1.667)/86400),"")</f>
        <v/>
      </c>
      <c r="L191" s="100" t="str">
        <f>IF(FacingSheet!$B$11=25,IF(ISERROR(((((H191*1440)-50)*60)-(((H191*1440)-50)^1.6))/86400),"",((((H191*1440)-50)*60)-(((H191*1440)-50)^1.6))/86400),"")</f>
        <v/>
      </c>
      <c r="M191" s="100" t="str">
        <f>IF(FacingSheet!$B$11=30,IF(ISERROR(((((H191*1440)-60)*60)-((((H191*1440)-60)^1.6))/1.2)/86400),"",((((H191*1440)-60)*60)-((((H191*1440)-60)^1.6))/1.2)/86400),"")</f>
        <v/>
      </c>
      <c r="N191" s="100" t="str">
        <f>IF(FacingSheet!$B$11=50,IF(ISERROR(((((H191*1440)-105)*60)-((((H191*1440)-105)^1.6))/2)/86400),"",((((H191*1440)-105)*60)-((((H191*1440)-105)^1.6))/2)/86400),"")</f>
        <v/>
      </c>
      <c r="O191" s="100" t="str">
        <f>IF(FacingSheet!$B$11=100,IF(ISERROR(((((H191*1440)-230)*60)-((((H191*1440)-230)^1.6))/4)/86400),"",((((H191*1440)-230)*60)-((((H191*1440)-230)^1.6))/4)/86400),"")</f>
        <v/>
      </c>
      <c r="P191" s="108" t="str">
        <f>IF(FacingSheet!$B$11=10,J191,IF(FacingSheet!$B$11=15,K191,IF(FacingSheet!$B$11=25,L191,IF(FacingSheet!$B$11=30,M191,IF(FacingSheet!$B$11=50,N191,IF(FacingSheet!$B$11=100,O191,""))))))</f>
        <v/>
      </c>
      <c r="Q191" s="65" t="str">
        <f>IF(OR(F191="V",F191="FV"),IF(I191="","",IF(MONTH(FacingSheet!$S$9)&gt;MONTH(I191),YEAR(FacingSheet!$S$9)-YEAR(I191),IF(AND(MONTH(FacingSheet!$S$9)=MONTH(I191),DAY(FacingSheet!$S$9)&gt;=DAY(I191)),YEAR(FacingSheet!$S$9)-YEAR(I191),(YEAR(FacingSheet!$S$9)-YEAR(I191))-1))),"")</f>
        <v/>
      </c>
      <c r="R191" s="108" t="str">
        <f>IF(Q191="","",IF(FacingSheet!$B$11=10,VLOOKUP(Q191,Age,2,FALSE),IF(FacingSheet!$B$11=15,VLOOKUP(Q191,Age,3,FALSE),IF(FacingSheet!$B$11=25,VLOOKUP(Q191,Age,4,FALSE),IF(FacingSheet!$B$11=30,VLOOKUP(Q191,Age,5,FALSE),IF(FacingSheet!$B$11=50,VLOOKUP(Q191,Age,6,FALSE),IF(FacingSheet!$B$11=100,VLOOKUP(Q191,Age,7,FALSE),"")))))))</f>
        <v/>
      </c>
      <c r="S191" s="108" t="str">
        <f>IF(Q191="","",IF(FacingSheet!$B$11=10,VLOOKUP(Q191,AgeF,2,FALSE),IF(FacingSheet!$B$11=15,VLOOKUP(Q191,AgeF,3,FALSE),IF(FacingSheet!$B$11=25,VLOOKUP(Q191,AgeF,4,FALSE),IF(FacingSheet!$B$11=30,VLOOKUP(Q191,AgeF,5,FALSE),IF(FacingSheet!$B$11=50,VLOOKUP(Q191,AgeF,6,FALSE),IF(FacingSheet!$B$11=100,VLOOKUP(Q191,AgeF,7,FALSE),"")))))))</f>
        <v/>
      </c>
      <c r="T191" s="108" t="str">
        <f t="shared" si="8"/>
        <v/>
      </c>
    </row>
    <row r="192" spans="1:20">
      <c r="A192" s="36"/>
      <c r="B192" s="133"/>
      <c r="C192" s="133"/>
      <c r="D192" s="1" t="str">
        <f t="shared" si="7"/>
        <v xml:space="preserve"> </v>
      </c>
      <c r="E192" s="29"/>
      <c r="F192" s="29"/>
      <c r="G192" s="29"/>
      <c r="H192" s="193"/>
      <c r="I192" s="131"/>
      <c r="J192" s="100" t="str">
        <f>IF(FacingSheet!$B$11=10,IF(ISERROR(((((H192*1440)-20)*60)-(((H192*1440)-20)^1.6)*2.5)/86400),"",((((H192*1440)-20)*60)-(((H192*1440)-20)^1.6)*2.5)/86400),"")</f>
        <v/>
      </c>
      <c r="K192" s="100" t="str">
        <f>IF(FacingSheet!$B$11=15,IF(ISERROR(((((H192*1440)-33)*60)-(((H192*1440)-33)^1.6)*1.667)/86400),"",((((H192*1440)-33)*60)-(((H192*1440)-33)^1.6)*1.667)/86400),"")</f>
        <v/>
      </c>
      <c r="L192" s="100" t="str">
        <f>IF(FacingSheet!$B$11=25,IF(ISERROR(((((H192*1440)-50)*60)-(((H192*1440)-50)^1.6))/86400),"",((((H192*1440)-50)*60)-(((H192*1440)-50)^1.6))/86400),"")</f>
        <v/>
      </c>
      <c r="M192" s="100" t="str">
        <f>IF(FacingSheet!$B$11=30,IF(ISERROR(((((H192*1440)-60)*60)-((((H192*1440)-60)^1.6))/1.2)/86400),"",((((H192*1440)-60)*60)-((((H192*1440)-60)^1.6))/1.2)/86400),"")</f>
        <v/>
      </c>
      <c r="N192" s="100" t="str">
        <f>IF(FacingSheet!$B$11=50,IF(ISERROR(((((H192*1440)-105)*60)-((((H192*1440)-105)^1.6))/2)/86400),"",((((H192*1440)-105)*60)-((((H192*1440)-105)^1.6))/2)/86400),"")</f>
        <v/>
      </c>
      <c r="O192" s="100" t="str">
        <f>IF(FacingSheet!$B$11=100,IF(ISERROR(((((H192*1440)-230)*60)-((((H192*1440)-230)^1.6))/4)/86400),"",((((H192*1440)-230)*60)-((((H192*1440)-230)^1.6))/4)/86400),"")</f>
        <v/>
      </c>
      <c r="P192" s="108" t="str">
        <f>IF(FacingSheet!$B$11=10,J192,IF(FacingSheet!$B$11=15,K192,IF(FacingSheet!$B$11=25,L192,IF(FacingSheet!$B$11=30,M192,IF(FacingSheet!$B$11=50,N192,IF(FacingSheet!$B$11=100,O192,""))))))</f>
        <v/>
      </c>
      <c r="Q192" s="65" t="str">
        <f>IF(OR(F192="V",F192="FV"),IF(I192="","",IF(MONTH(FacingSheet!$S$9)&gt;MONTH(I192),YEAR(FacingSheet!$S$9)-YEAR(I192),IF(AND(MONTH(FacingSheet!$S$9)=MONTH(I192),DAY(FacingSheet!$S$9)&gt;=DAY(I192)),YEAR(FacingSheet!$S$9)-YEAR(I192),(YEAR(FacingSheet!$S$9)-YEAR(I192))-1))),"")</f>
        <v/>
      </c>
      <c r="R192" s="108" t="str">
        <f>IF(Q192="","",IF(FacingSheet!$B$11=10,VLOOKUP(Q192,Age,2,FALSE),IF(FacingSheet!$B$11=15,VLOOKUP(Q192,Age,3,FALSE),IF(FacingSheet!$B$11=25,VLOOKUP(Q192,Age,4,FALSE),IF(FacingSheet!$B$11=30,VLOOKUP(Q192,Age,5,FALSE),IF(FacingSheet!$B$11=50,VLOOKUP(Q192,Age,6,FALSE),IF(FacingSheet!$B$11=100,VLOOKUP(Q192,Age,7,FALSE),"")))))))</f>
        <v/>
      </c>
      <c r="S192" s="108" t="str">
        <f>IF(Q192="","",IF(FacingSheet!$B$11=10,VLOOKUP(Q192,AgeF,2,FALSE),IF(FacingSheet!$B$11=15,VLOOKUP(Q192,AgeF,3,FALSE),IF(FacingSheet!$B$11=25,VLOOKUP(Q192,AgeF,4,FALSE),IF(FacingSheet!$B$11=30,VLOOKUP(Q192,AgeF,5,FALSE),IF(FacingSheet!$B$11=50,VLOOKUP(Q192,AgeF,6,FALSE),IF(FacingSheet!$B$11=100,VLOOKUP(Q192,AgeF,7,FALSE),"")))))))</f>
        <v/>
      </c>
      <c r="T192" s="108" t="str">
        <f t="shared" si="8"/>
        <v/>
      </c>
    </row>
    <row r="193" spans="1:23">
      <c r="A193" s="36"/>
      <c r="B193" s="133"/>
      <c r="C193" s="133"/>
      <c r="D193" s="1" t="str">
        <f t="shared" si="7"/>
        <v xml:space="preserve"> </v>
      </c>
      <c r="E193" s="29"/>
      <c r="F193" s="29"/>
      <c r="G193" s="29"/>
      <c r="H193" s="193"/>
      <c r="I193" s="131"/>
      <c r="J193" s="100" t="str">
        <f>IF(FacingSheet!$B$11=10,IF(ISERROR(((((H193*1440)-20)*60)-(((H193*1440)-20)^1.6)*2.5)/86400),"",((((H193*1440)-20)*60)-(((H193*1440)-20)^1.6)*2.5)/86400),"")</f>
        <v/>
      </c>
      <c r="K193" s="100" t="str">
        <f>IF(FacingSheet!$B$11=15,IF(ISERROR(((((H193*1440)-33)*60)-(((H193*1440)-33)^1.6)*1.667)/86400),"",((((H193*1440)-33)*60)-(((H193*1440)-33)^1.6)*1.667)/86400),"")</f>
        <v/>
      </c>
      <c r="L193" s="100" t="str">
        <f>IF(FacingSheet!$B$11=25,IF(ISERROR(((((H193*1440)-50)*60)-(((H193*1440)-50)^1.6))/86400),"",((((H193*1440)-50)*60)-(((H193*1440)-50)^1.6))/86400),"")</f>
        <v/>
      </c>
      <c r="M193" s="100" t="str">
        <f>IF(FacingSheet!$B$11=30,IF(ISERROR(((((H193*1440)-60)*60)-((((H193*1440)-60)^1.6))/1.2)/86400),"",((((H193*1440)-60)*60)-((((H193*1440)-60)^1.6))/1.2)/86400),"")</f>
        <v/>
      </c>
      <c r="N193" s="100" t="str">
        <f>IF(FacingSheet!$B$11=50,IF(ISERROR(((((H193*1440)-105)*60)-((((H193*1440)-105)^1.6))/2)/86400),"",((((H193*1440)-105)*60)-((((H193*1440)-105)^1.6))/2)/86400),"")</f>
        <v/>
      </c>
      <c r="O193" s="100" t="str">
        <f>IF(FacingSheet!$B$11=100,IF(ISERROR(((((H193*1440)-230)*60)-((((H193*1440)-230)^1.6))/4)/86400),"",((((H193*1440)-230)*60)-((((H193*1440)-230)^1.6))/4)/86400),"")</f>
        <v/>
      </c>
      <c r="P193" s="108" t="str">
        <f>IF(FacingSheet!$B$11=10,J193,IF(FacingSheet!$B$11=15,K193,IF(FacingSheet!$B$11=25,L193,IF(FacingSheet!$B$11=30,M193,IF(FacingSheet!$B$11=50,N193,IF(FacingSheet!$B$11=100,O193,""))))))</f>
        <v/>
      </c>
      <c r="Q193" s="65" t="str">
        <f>IF(OR(F193="V",F193="FV"),IF(I193="","",IF(MONTH(FacingSheet!$S$9)&gt;MONTH(I193),YEAR(FacingSheet!$S$9)-YEAR(I193),IF(AND(MONTH(FacingSheet!$S$9)=MONTH(I193),DAY(FacingSheet!$S$9)&gt;=DAY(I193)),YEAR(FacingSheet!$S$9)-YEAR(I193),(YEAR(FacingSheet!$S$9)-YEAR(I193))-1))),"")</f>
        <v/>
      </c>
      <c r="R193" s="108" t="str">
        <f>IF(Q193="","",IF(FacingSheet!$B$11=10,VLOOKUP(Q193,Age,2,FALSE),IF(FacingSheet!$B$11=15,VLOOKUP(Q193,Age,3,FALSE),IF(FacingSheet!$B$11=25,VLOOKUP(Q193,Age,4,FALSE),IF(FacingSheet!$B$11=30,VLOOKUP(Q193,Age,5,FALSE),IF(FacingSheet!$B$11=50,VLOOKUP(Q193,Age,6,FALSE),IF(FacingSheet!$B$11=100,VLOOKUP(Q193,Age,7,FALSE),"")))))))</f>
        <v/>
      </c>
      <c r="S193" s="108" t="str">
        <f>IF(Q193="","",IF(FacingSheet!$B$11=10,VLOOKUP(Q193,AgeF,2,FALSE),IF(FacingSheet!$B$11=15,VLOOKUP(Q193,AgeF,3,FALSE),IF(FacingSheet!$B$11=25,VLOOKUP(Q193,AgeF,4,FALSE),IF(FacingSheet!$B$11=30,VLOOKUP(Q193,AgeF,5,FALSE),IF(FacingSheet!$B$11=50,VLOOKUP(Q193,AgeF,6,FALSE),IF(FacingSheet!$B$11=100,VLOOKUP(Q193,AgeF,7,FALSE),"")))))))</f>
        <v/>
      </c>
      <c r="T193" s="108" t="str">
        <f t="shared" si="8"/>
        <v/>
      </c>
    </row>
    <row r="194" spans="1:23">
      <c r="A194" s="36"/>
      <c r="B194" s="133"/>
      <c r="C194" s="133"/>
      <c r="D194" s="1" t="str">
        <f t="shared" si="7"/>
        <v xml:space="preserve"> </v>
      </c>
      <c r="E194" s="29"/>
      <c r="F194" s="29"/>
      <c r="G194" s="29"/>
      <c r="H194" s="193"/>
      <c r="I194" s="131"/>
      <c r="J194" s="100" t="str">
        <f>IF(FacingSheet!$B$11=10,IF(ISERROR(((((H194*1440)-20)*60)-(((H194*1440)-20)^1.6)*2.5)/86400),"",((((H194*1440)-20)*60)-(((H194*1440)-20)^1.6)*2.5)/86400),"")</f>
        <v/>
      </c>
      <c r="K194" s="100" t="str">
        <f>IF(FacingSheet!$B$11=15,IF(ISERROR(((((H194*1440)-33)*60)-(((H194*1440)-33)^1.6)*1.667)/86400),"",((((H194*1440)-33)*60)-(((H194*1440)-33)^1.6)*1.667)/86400),"")</f>
        <v/>
      </c>
      <c r="L194" s="100" t="str">
        <f>IF(FacingSheet!$B$11=25,IF(ISERROR(((((H194*1440)-50)*60)-(((H194*1440)-50)^1.6))/86400),"",((((H194*1440)-50)*60)-(((H194*1440)-50)^1.6))/86400),"")</f>
        <v/>
      </c>
      <c r="M194" s="100" t="str">
        <f>IF(FacingSheet!$B$11=30,IF(ISERROR(((((H194*1440)-60)*60)-((((H194*1440)-60)^1.6))/1.2)/86400),"",((((H194*1440)-60)*60)-((((H194*1440)-60)^1.6))/1.2)/86400),"")</f>
        <v/>
      </c>
      <c r="N194" s="100" t="str">
        <f>IF(FacingSheet!$B$11=50,IF(ISERROR(((((H194*1440)-105)*60)-((((H194*1440)-105)^1.6))/2)/86400),"",((((H194*1440)-105)*60)-((((H194*1440)-105)^1.6))/2)/86400),"")</f>
        <v/>
      </c>
      <c r="O194" s="100" t="str">
        <f>IF(FacingSheet!$B$11=100,IF(ISERROR(((((H194*1440)-230)*60)-((((H194*1440)-230)^1.6))/4)/86400),"",((((H194*1440)-230)*60)-((((H194*1440)-230)^1.6))/4)/86400),"")</f>
        <v/>
      </c>
      <c r="P194" s="108" t="str">
        <f>IF(FacingSheet!$B$11=10,J194,IF(FacingSheet!$B$11=15,K194,IF(FacingSheet!$B$11=25,L194,IF(FacingSheet!$B$11=30,M194,IF(FacingSheet!$B$11=50,N194,IF(FacingSheet!$B$11=100,O194,""))))))</f>
        <v/>
      </c>
      <c r="Q194" s="65" t="str">
        <f>IF(OR(F194="V",F194="FV"),IF(I194="","",IF(MONTH(FacingSheet!$S$9)&gt;MONTH(I194),YEAR(FacingSheet!$S$9)-YEAR(I194),IF(AND(MONTH(FacingSheet!$S$9)=MONTH(I194),DAY(FacingSheet!$S$9)&gt;=DAY(I194)),YEAR(FacingSheet!$S$9)-YEAR(I194),(YEAR(FacingSheet!$S$9)-YEAR(I194))-1))),"")</f>
        <v/>
      </c>
      <c r="R194" s="108" t="str">
        <f>IF(Q194="","",IF(FacingSheet!$B$11=10,VLOOKUP(Q194,Age,2,FALSE),IF(FacingSheet!$B$11=15,VLOOKUP(Q194,Age,3,FALSE),IF(FacingSheet!$B$11=25,VLOOKUP(Q194,Age,4,FALSE),IF(FacingSheet!$B$11=30,VLOOKUP(Q194,Age,5,FALSE),IF(FacingSheet!$B$11=50,VLOOKUP(Q194,Age,6,FALSE),IF(FacingSheet!$B$11=100,VLOOKUP(Q194,Age,7,FALSE),"")))))))</f>
        <v/>
      </c>
      <c r="S194" s="108" t="str">
        <f>IF(Q194="","",IF(FacingSheet!$B$11=10,VLOOKUP(Q194,AgeF,2,FALSE),IF(FacingSheet!$B$11=15,VLOOKUP(Q194,AgeF,3,FALSE),IF(FacingSheet!$B$11=25,VLOOKUP(Q194,AgeF,4,FALSE),IF(FacingSheet!$B$11=30,VLOOKUP(Q194,AgeF,5,FALSE),IF(FacingSheet!$B$11=50,VLOOKUP(Q194,AgeF,6,FALSE),IF(FacingSheet!$B$11=100,VLOOKUP(Q194,AgeF,7,FALSE),"")))))))</f>
        <v/>
      </c>
      <c r="T194" s="108" t="str">
        <f t="shared" si="8"/>
        <v/>
      </c>
    </row>
    <row r="195" spans="1:23">
      <c r="A195" s="36"/>
      <c r="B195" s="133"/>
      <c r="C195" s="133"/>
      <c r="D195" s="1" t="str">
        <f t="shared" si="7"/>
        <v xml:space="preserve"> </v>
      </c>
      <c r="E195" s="29"/>
      <c r="F195" s="29"/>
      <c r="G195" s="29"/>
      <c r="H195" s="193"/>
      <c r="I195" s="131"/>
      <c r="J195" s="100" t="str">
        <f>IF(FacingSheet!$B$11=10,IF(ISERROR(((((H195*1440)-20)*60)-(((H195*1440)-20)^1.6)*2.5)/86400),"",((((H195*1440)-20)*60)-(((H195*1440)-20)^1.6)*2.5)/86400),"")</f>
        <v/>
      </c>
      <c r="K195" s="100" t="str">
        <f>IF(FacingSheet!$B$11=15,IF(ISERROR(((((H195*1440)-33)*60)-(((H195*1440)-33)^1.6)*1.667)/86400),"",((((H195*1440)-33)*60)-(((H195*1440)-33)^1.6)*1.667)/86400),"")</f>
        <v/>
      </c>
      <c r="L195" s="100" t="str">
        <f>IF(FacingSheet!$B$11=25,IF(ISERROR(((((H195*1440)-50)*60)-(((H195*1440)-50)^1.6))/86400),"",((((H195*1440)-50)*60)-(((H195*1440)-50)^1.6))/86400),"")</f>
        <v/>
      </c>
      <c r="M195" s="100" t="str">
        <f>IF(FacingSheet!$B$11=30,IF(ISERROR(((((H195*1440)-60)*60)-((((H195*1440)-60)^1.6))/1.2)/86400),"",((((H195*1440)-60)*60)-((((H195*1440)-60)^1.6))/1.2)/86400),"")</f>
        <v/>
      </c>
      <c r="N195" s="100" t="str">
        <f>IF(FacingSheet!$B$11=50,IF(ISERROR(((((H195*1440)-105)*60)-((((H195*1440)-105)^1.6))/2)/86400),"",((((H195*1440)-105)*60)-((((H195*1440)-105)^1.6))/2)/86400),"")</f>
        <v/>
      </c>
      <c r="O195" s="100" t="str">
        <f>IF(FacingSheet!$B$11=100,IF(ISERROR(((((H195*1440)-230)*60)-((((H195*1440)-230)^1.6))/4)/86400),"",((((H195*1440)-230)*60)-((((H195*1440)-230)^1.6))/4)/86400),"")</f>
        <v/>
      </c>
      <c r="P195" s="108" t="str">
        <f>IF(FacingSheet!$B$11=10,J195,IF(FacingSheet!$B$11=15,K195,IF(FacingSheet!$B$11=25,L195,IF(FacingSheet!$B$11=30,M195,IF(FacingSheet!$B$11=50,N195,IF(FacingSheet!$B$11=100,O195,""))))))</f>
        <v/>
      </c>
      <c r="Q195" s="65" t="str">
        <f>IF(OR(F195="V",F195="FV"),IF(I195="","",IF(MONTH(FacingSheet!$S$9)&gt;MONTH(I195),YEAR(FacingSheet!$S$9)-YEAR(I195),IF(AND(MONTH(FacingSheet!$S$9)=MONTH(I195),DAY(FacingSheet!$S$9)&gt;=DAY(I195)),YEAR(FacingSheet!$S$9)-YEAR(I195),(YEAR(FacingSheet!$S$9)-YEAR(I195))-1))),"")</f>
        <v/>
      </c>
      <c r="R195" s="108" t="str">
        <f>IF(Q195="","",IF(FacingSheet!$B$11=10,VLOOKUP(Q195,Age,2,FALSE),IF(FacingSheet!$B$11=15,VLOOKUP(Q195,Age,3,FALSE),IF(FacingSheet!$B$11=25,VLOOKUP(Q195,Age,4,FALSE),IF(FacingSheet!$B$11=30,VLOOKUP(Q195,Age,5,FALSE),IF(FacingSheet!$B$11=50,VLOOKUP(Q195,Age,6,FALSE),IF(FacingSheet!$B$11=100,VLOOKUP(Q195,Age,7,FALSE),"")))))))</f>
        <v/>
      </c>
      <c r="S195" s="108" t="str">
        <f>IF(Q195="","",IF(FacingSheet!$B$11=10,VLOOKUP(Q195,AgeF,2,FALSE),IF(FacingSheet!$B$11=15,VLOOKUP(Q195,AgeF,3,FALSE),IF(FacingSheet!$B$11=25,VLOOKUP(Q195,AgeF,4,FALSE),IF(FacingSheet!$B$11=30,VLOOKUP(Q195,AgeF,5,FALSE),IF(FacingSheet!$B$11=50,VLOOKUP(Q195,AgeF,6,FALSE),IF(FacingSheet!$B$11=100,VLOOKUP(Q195,AgeF,7,FALSE),"")))))))</f>
        <v/>
      </c>
      <c r="T195" s="108" t="str">
        <f t="shared" si="8"/>
        <v/>
      </c>
    </row>
    <row r="196" spans="1:23">
      <c r="A196" s="36"/>
      <c r="B196" s="133"/>
      <c r="C196" s="133"/>
      <c r="D196" s="1" t="str">
        <f t="shared" si="7"/>
        <v xml:space="preserve"> </v>
      </c>
      <c r="E196" s="29"/>
      <c r="F196" s="29"/>
      <c r="G196" s="29"/>
      <c r="H196" s="99"/>
      <c r="I196" s="131"/>
      <c r="J196" s="100" t="str">
        <f>IF(FacingSheet!$B$11=10,IF(ISERROR(((((H196*1440)-20)*60)-(((H196*1440)-20)^1.6)*2.5)/86400),"",((((H196*1440)-20)*60)-(((H196*1440)-20)^1.6)*2.5)/86400),"")</f>
        <v/>
      </c>
      <c r="K196" s="100" t="str">
        <f>IF(FacingSheet!$B$11=15,IF(ISERROR(((((H196*1440)-33)*60)-(((H196*1440)-33)^1.6)*1.667)/86400),"",((((H196*1440)-33)*60)-(((H196*1440)-33)^1.6)*1.667)/86400),"")</f>
        <v/>
      </c>
      <c r="L196" s="100" t="str">
        <f>IF(FacingSheet!$B$11=25,IF(ISERROR(((((H196*1440)-50)*60)-(((H196*1440)-50)^1.6))/86400),"",((((H196*1440)-50)*60)-(((H196*1440)-50)^1.6))/86400),"")</f>
        <v/>
      </c>
      <c r="M196" s="100" t="str">
        <f>IF(FacingSheet!$B$11=30,IF(ISERROR(((((H196*1440)-60)*60)-((((H196*1440)-60)^1.6))/1.2)/86400),"",((((H196*1440)-60)*60)-((((H196*1440)-60)^1.6))/1.2)/86400),"")</f>
        <v/>
      </c>
      <c r="N196" s="100" t="str">
        <f>IF(FacingSheet!$B$11=50,IF(ISERROR(((((H196*1440)-105)*60)-((((H196*1440)-105)^1.6))/2)/86400),"",((((H196*1440)-105)*60)-((((H196*1440)-105)^1.6))/2)/86400),"")</f>
        <v/>
      </c>
      <c r="O196" s="100" t="str">
        <f>IF(FacingSheet!$B$11=100,IF(ISERROR(((((H196*1440)-230)*60)-((((H196*1440)-230)^1.6))/4)/86400),"",((((H196*1440)-230)*60)-((((H196*1440)-230)^1.6))/4)/86400),"")</f>
        <v/>
      </c>
      <c r="P196" s="108" t="str">
        <f>IF(FacingSheet!$B$11=10,J196,IF(FacingSheet!$B$11=15,K196,IF(FacingSheet!$B$11=25,L196,IF(FacingSheet!$B$11=30,M196,IF(FacingSheet!$B$11=50,N196,IF(FacingSheet!$B$11=100,O196,""))))))</f>
        <v/>
      </c>
      <c r="Q196" s="65" t="str">
        <f>IF(OR(F196="V",F196="FV"),IF(I196="","",IF(MONTH(FacingSheet!$S$9)&gt;MONTH(I196),YEAR(FacingSheet!$S$9)-YEAR(I196),IF(AND(MONTH(FacingSheet!$S$9)=MONTH(I196),DAY(FacingSheet!$S$9)&gt;=DAY(I196)),YEAR(FacingSheet!$S$9)-YEAR(I196),(YEAR(FacingSheet!$S$9)-YEAR(I196))-1))),"")</f>
        <v/>
      </c>
      <c r="R196" s="108" t="str">
        <f>IF(Q196="","",IF(FacingSheet!$B$11=10,VLOOKUP(Q196,Age,2,FALSE),IF(FacingSheet!$B$11=15,VLOOKUP(Q196,Age,3,FALSE),IF(FacingSheet!$B$11=25,VLOOKUP(Q196,Age,4,FALSE),IF(FacingSheet!$B$11=30,VLOOKUP(Q196,Age,5,FALSE),IF(FacingSheet!$B$11=50,VLOOKUP(Q196,Age,6,FALSE),IF(FacingSheet!$B$11=100,VLOOKUP(Q196,Age,7,FALSE),"")))))))</f>
        <v/>
      </c>
      <c r="S196" s="108" t="str">
        <f>IF(Q196="","",IF(FacingSheet!$B$11=10,VLOOKUP(Q196,AgeF,2,FALSE),IF(FacingSheet!$B$11=15,VLOOKUP(Q196,AgeF,3,FALSE),IF(FacingSheet!$B$11=25,VLOOKUP(Q196,AgeF,4,FALSE),IF(FacingSheet!$B$11=30,VLOOKUP(Q196,AgeF,5,FALSE),IF(FacingSheet!$B$11=50,VLOOKUP(Q196,AgeF,6,FALSE),IF(FacingSheet!$B$11=100,VLOOKUP(Q196,AgeF,7,FALSE),"")))))))</f>
        <v/>
      </c>
      <c r="T196" s="108" t="str">
        <f t="shared" si="8"/>
        <v/>
      </c>
    </row>
    <row r="197" spans="1:23">
      <c r="A197" s="36"/>
      <c r="B197" s="133"/>
      <c r="C197" s="133"/>
      <c r="D197" s="1" t="str">
        <f t="shared" si="7"/>
        <v xml:space="preserve"> </v>
      </c>
      <c r="E197" s="29"/>
      <c r="F197" s="29"/>
      <c r="G197" s="29"/>
      <c r="H197" s="99"/>
      <c r="I197" s="131"/>
      <c r="J197" s="100" t="str">
        <f>IF(FacingSheet!$B$11=10,IF(ISERROR(((((H197*1440)-20)*60)-(((H197*1440)-20)^1.6)*2.5)/86400),"",((((H197*1440)-20)*60)-(((H197*1440)-20)^1.6)*2.5)/86400),"")</f>
        <v/>
      </c>
      <c r="K197" s="100" t="str">
        <f>IF(FacingSheet!$B$11=15,IF(ISERROR(((((H197*1440)-33)*60)-(((H197*1440)-33)^1.6)*1.667)/86400),"",((((H197*1440)-33)*60)-(((H197*1440)-33)^1.6)*1.667)/86400),"")</f>
        <v/>
      </c>
      <c r="L197" s="100" t="str">
        <f>IF(FacingSheet!$B$11=25,IF(ISERROR(((((H197*1440)-50)*60)-(((H197*1440)-50)^1.6))/86400),"",((((H197*1440)-50)*60)-(((H197*1440)-50)^1.6))/86400),"")</f>
        <v/>
      </c>
      <c r="M197" s="100" t="str">
        <f>IF(FacingSheet!$B$11=30,IF(ISERROR(((((H197*1440)-60)*60)-((((H197*1440)-60)^1.6))/1.2)/86400),"",((((H197*1440)-60)*60)-((((H197*1440)-60)^1.6))/1.2)/86400),"")</f>
        <v/>
      </c>
      <c r="N197" s="100" t="str">
        <f>IF(FacingSheet!$B$11=50,IF(ISERROR(((((H197*1440)-105)*60)-((((H197*1440)-105)^1.6))/2)/86400),"",((((H197*1440)-105)*60)-((((H197*1440)-105)^1.6))/2)/86400),"")</f>
        <v/>
      </c>
      <c r="O197" s="100" t="str">
        <f>IF(FacingSheet!$B$11=100,IF(ISERROR(((((H197*1440)-230)*60)-((((H197*1440)-230)^1.6))/4)/86400),"",((((H197*1440)-230)*60)-((((H197*1440)-230)^1.6))/4)/86400),"")</f>
        <v/>
      </c>
      <c r="P197" s="108" t="str">
        <f>IF(FacingSheet!$B$11=10,J197,IF(FacingSheet!$B$11=15,K197,IF(FacingSheet!$B$11=25,L197,IF(FacingSheet!$B$11=30,M197,IF(FacingSheet!$B$11=50,N197,IF(FacingSheet!$B$11=100,O197,""))))))</f>
        <v/>
      </c>
      <c r="Q197" s="65" t="str">
        <f>IF(OR(F197="V",F197="FV"),IF(I197="","",IF(MONTH(FacingSheet!$S$9)&gt;MONTH(I197),YEAR(FacingSheet!$S$9)-YEAR(I197),IF(AND(MONTH(FacingSheet!$S$9)=MONTH(I197),DAY(FacingSheet!$S$9)&gt;=DAY(I197)),YEAR(FacingSheet!$S$9)-YEAR(I197),(YEAR(FacingSheet!$S$9)-YEAR(I197))-1))),"")</f>
        <v/>
      </c>
      <c r="R197" s="108" t="str">
        <f>IF(Q197="","",IF(FacingSheet!$B$11=10,VLOOKUP(Q197,Age,2,FALSE),IF(FacingSheet!$B$11=15,VLOOKUP(Q197,Age,3,FALSE),IF(FacingSheet!$B$11=25,VLOOKUP(Q197,Age,4,FALSE),IF(FacingSheet!$B$11=30,VLOOKUP(Q197,Age,5,FALSE),IF(FacingSheet!$B$11=50,VLOOKUP(Q197,Age,6,FALSE),IF(FacingSheet!$B$11=100,VLOOKUP(Q197,Age,7,FALSE),"")))))))</f>
        <v/>
      </c>
      <c r="S197" s="108" t="str">
        <f>IF(Q197="","",IF(FacingSheet!$B$11=10,VLOOKUP(Q197,AgeF,2,FALSE),IF(FacingSheet!$B$11=15,VLOOKUP(Q197,AgeF,3,FALSE),IF(FacingSheet!$B$11=25,VLOOKUP(Q197,AgeF,4,FALSE),IF(FacingSheet!$B$11=30,VLOOKUP(Q197,AgeF,5,FALSE),IF(FacingSheet!$B$11=50,VLOOKUP(Q197,AgeF,6,FALSE),IF(FacingSheet!$B$11=100,VLOOKUP(Q197,AgeF,7,FALSE),"")))))))</f>
        <v/>
      </c>
      <c r="T197" s="108" t="str">
        <f t="shared" si="8"/>
        <v/>
      </c>
    </row>
    <row r="198" spans="1:23">
      <c r="A198" s="36"/>
      <c r="B198" s="133"/>
      <c r="C198" s="133"/>
      <c r="D198" s="1" t="str">
        <f t="shared" si="7"/>
        <v xml:space="preserve"> </v>
      </c>
      <c r="E198" s="29"/>
      <c r="F198" s="29"/>
      <c r="G198" s="29"/>
      <c r="H198" s="99"/>
      <c r="I198" s="131"/>
      <c r="J198" s="100" t="str">
        <f>IF(FacingSheet!$B$11=10,IF(ISERROR(((((H198*1440)-20)*60)-(((H198*1440)-20)^1.6)*2.5)/86400),"",((((H198*1440)-20)*60)-(((H198*1440)-20)^1.6)*2.5)/86400),"")</f>
        <v/>
      </c>
      <c r="K198" s="100" t="str">
        <f>IF(FacingSheet!$B$11=15,IF(ISERROR(((((H198*1440)-33)*60)-(((H198*1440)-33)^1.6)*1.667)/86400),"",((((H198*1440)-33)*60)-(((H198*1440)-33)^1.6)*1.667)/86400),"")</f>
        <v/>
      </c>
      <c r="L198" s="100" t="str">
        <f>IF(FacingSheet!$B$11=25,IF(ISERROR(((((H198*1440)-50)*60)-(((H198*1440)-50)^1.6))/86400),"",((((H198*1440)-50)*60)-(((H198*1440)-50)^1.6))/86400),"")</f>
        <v/>
      </c>
      <c r="M198" s="100" t="str">
        <f>IF(FacingSheet!$B$11=30,IF(ISERROR(((((H198*1440)-60)*60)-((((H198*1440)-60)^1.6))/1.2)/86400),"",((((H198*1440)-60)*60)-((((H198*1440)-60)^1.6))/1.2)/86400),"")</f>
        <v/>
      </c>
      <c r="N198" s="100" t="str">
        <f>IF(FacingSheet!$B$11=50,IF(ISERROR(((((H198*1440)-105)*60)-((((H198*1440)-105)^1.6))/2)/86400),"",((((H198*1440)-105)*60)-((((H198*1440)-105)^1.6))/2)/86400),"")</f>
        <v/>
      </c>
      <c r="O198" s="100" t="str">
        <f>IF(FacingSheet!$B$11=100,IF(ISERROR(((((H198*1440)-230)*60)-((((H198*1440)-230)^1.6))/4)/86400),"",((((H198*1440)-230)*60)-((((H198*1440)-230)^1.6))/4)/86400),"")</f>
        <v/>
      </c>
      <c r="P198" s="108" t="str">
        <f>IF(FacingSheet!$B$11=10,J198,IF(FacingSheet!$B$11=15,K198,IF(FacingSheet!$B$11=25,L198,IF(FacingSheet!$B$11=30,M198,IF(FacingSheet!$B$11=50,N198,IF(FacingSheet!$B$11=100,O198,""))))))</f>
        <v/>
      </c>
      <c r="Q198" s="65" t="str">
        <f>IF(OR(F198="V",F198="FV"),IF(I198="","",IF(MONTH(FacingSheet!$S$9)&gt;MONTH(I198),YEAR(FacingSheet!$S$9)-YEAR(I198),IF(AND(MONTH(FacingSheet!$S$9)=MONTH(I198),DAY(FacingSheet!$S$9)&gt;=DAY(I198)),YEAR(FacingSheet!$S$9)-YEAR(I198),(YEAR(FacingSheet!$S$9)-YEAR(I198))-1))),"")</f>
        <v/>
      </c>
      <c r="R198" s="108" t="str">
        <f>IF(Q198="","",IF(FacingSheet!$B$11=10,VLOOKUP(Q198,Age,2,FALSE),IF(FacingSheet!$B$11=15,VLOOKUP(Q198,Age,3,FALSE),IF(FacingSheet!$B$11=25,VLOOKUP(Q198,Age,4,FALSE),IF(FacingSheet!$B$11=30,VLOOKUP(Q198,Age,5,FALSE),IF(FacingSheet!$B$11=50,VLOOKUP(Q198,Age,6,FALSE),IF(FacingSheet!$B$11=100,VLOOKUP(Q198,Age,7,FALSE),"")))))))</f>
        <v/>
      </c>
      <c r="S198" s="108" t="str">
        <f>IF(Q198="","",IF(FacingSheet!$B$11=10,VLOOKUP(Q198,AgeF,2,FALSE),IF(FacingSheet!$B$11=15,VLOOKUP(Q198,AgeF,3,FALSE),IF(FacingSheet!$B$11=25,VLOOKUP(Q198,AgeF,4,FALSE),IF(FacingSheet!$B$11=30,VLOOKUP(Q198,AgeF,5,FALSE),IF(FacingSheet!$B$11=50,VLOOKUP(Q198,AgeF,6,FALSE),IF(FacingSheet!$B$11=100,VLOOKUP(Q198,AgeF,7,FALSE),"")))))))</f>
        <v/>
      </c>
      <c r="T198" s="108" t="str">
        <f t="shared" si="8"/>
        <v/>
      </c>
    </row>
    <row r="199" spans="1:23">
      <c r="A199" s="36"/>
      <c r="B199" s="133"/>
      <c r="C199" s="133"/>
      <c r="D199" s="1" t="str">
        <f t="shared" si="7"/>
        <v xml:space="preserve"> </v>
      </c>
      <c r="E199" s="29"/>
      <c r="F199" s="29"/>
      <c r="G199" s="29"/>
      <c r="H199" s="99"/>
      <c r="I199" s="131"/>
      <c r="J199" s="100" t="str">
        <f>IF(FacingSheet!$B$11=10,IF(ISERROR(((((H199*1440)-20)*60)-(((H199*1440)-20)^1.6)*2.5)/86400),"",((((H199*1440)-20)*60)-(((H199*1440)-20)^1.6)*2.5)/86400),"")</f>
        <v/>
      </c>
      <c r="K199" s="100" t="str">
        <f>IF(FacingSheet!$B$11=15,IF(ISERROR(((((H199*1440)-33)*60)-(((H199*1440)-33)^1.6)*1.667)/86400),"",((((H199*1440)-33)*60)-(((H199*1440)-33)^1.6)*1.667)/86400),"")</f>
        <v/>
      </c>
      <c r="L199" s="100" t="str">
        <f>IF(FacingSheet!$B$11=25,IF(ISERROR(((((H199*1440)-50)*60)-(((H199*1440)-50)^1.6))/86400),"",((((H199*1440)-50)*60)-(((H199*1440)-50)^1.6))/86400),"")</f>
        <v/>
      </c>
      <c r="M199" s="100" t="str">
        <f>IF(FacingSheet!$B$11=30,IF(ISERROR(((((H199*1440)-60)*60)-((((H199*1440)-60)^1.6))/1.2)/86400),"",((((H199*1440)-60)*60)-((((H199*1440)-60)^1.6))/1.2)/86400),"")</f>
        <v/>
      </c>
      <c r="N199" s="100" t="str">
        <f>IF(FacingSheet!$B$11=50,IF(ISERROR(((((H199*1440)-105)*60)-((((H199*1440)-105)^1.6))/2)/86400),"",((((H199*1440)-105)*60)-((((H199*1440)-105)^1.6))/2)/86400),"")</f>
        <v/>
      </c>
      <c r="O199" s="100" t="str">
        <f>IF(FacingSheet!$B$11=100,IF(ISERROR(((((H199*1440)-230)*60)-((((H199*1440)-230)^1.6))/4)/86400),"",((((H199*1440)-230)*60)-((((H199*1440)-230)^1.6))/4)/86400),"")</f>
        <v/>
      </c>
      <c r="P199" s="108" t="str">
        <f>IF(FacingSheet!$B$11=10,J199,IF(FacingSheet!$B$11=15,K199,IF(FacingSheet!$B$11=25,L199,IF(FacingSheet!$B$11=30,M199,IF(FacingSheet!$B$11=50,N199,IF(FacingSheet!$B$11=100,O199,""))))))</f>
        <v/>
      </c>
      <c r="Q199" s="65" t="str">
        <f>IF(OR(F199="V",F199="FV"),IF(I199="","",IF(MONTH(FacingSheet!$S$9)&gt;MONTH(I199),YEAR(FacingSheet!$S$9)-YEAR(I199),IF(AND(MONTH(FacingSheet!$S$9)=MONTH(I199),DAY(FacingSheet!$S$9)&gt;=DAY(I199)),YEAR(FacingSheet!$S$9)-YEAR(I199),(YEAR(FacingSheet!$S$9)-YEAR(I199))-1))),"")</f>
        <v/>
      </c>
      <c r="R199" s="108" t="str">
        <f>IF(Q199="","",IF(FacingSheet!$B$11=10,VLOOKUP(Q199,Age,2,FALSE),IF(FacingSheet!$B$11=15,VLOOKUP(Q199,Age,3,FALSE),IF(FacingSheet!$B$11=25,VLOOKUP(Q199,Age,4,FALSE),IF(FacingSheet!$B$11=30,VLOOKUP(Q199,Age,5,FALSE),IF(FacingSheet!$B$11=50,VLOOKUP(Q199,Age,6,FALSE),IF(FacingSheet!$B$11=100,VLOOKUP(Q199,Age,7,FALSE),"")))))))</f>
        <v/>
      </c>
      <c r="S199" s="108" t="str">
        <f>IF(Q199="","",IF(FacingSheet!$B$11=10,VLOOKUP(Q199,AgeF,2,FALSE),IF(FacingSheet!$B$11=15,VLOOKUP(Q199,AgeF,3,FALSE),IF(FacingSheet!$B$11=25,VLOOKUP(Q199,AgeF,4,FALSE),IF(FacingSheet!$B$11=30,VLOOKUP(Q199,AgeF,5,FALSE),IF(FacingSheet!$B$11=50,VLOOKUP(Q199,AgeF,6,FALSE),IF(FacingSheet!$B$11=100,VLOOKUP(Q199,AgeF,7,FALSE),"")))))))</f>
        <v/>
      </c>
      <c r="T199" s="108" t="str">
        <f t="shared" si="8"/>
        <v/>
      </c>
    </row>
    <row r="200" spans="1:23">
      <c r="A200" s="36"/>
      <c r="B200" s="133"/>
      <c r="C200" s="133"/>
      <c r="D200" s="1" t="str">
        <f t="shared" si="7"/>
        <v xml:space="preserve"> </v>
      </c>
      <c r="E200" s="29"/>
      <c r="F200" s="29"/>
      <c r="G200" s="29"/>
      <c r="H200" s="193"/>
      <c r="I200" s="131"/>
      <c r="J200" s="100" t="str">
        <f>IF(FacingSheet!$B$11=10,IF(ISERROR(((((H200*1440)-20)*60)-(((H200*1440)-20)^1.6)*2.5)/86400),"",((((H200*1440)-20)*60)-(((H200*1440)-20)^1.6)*2.5)/86400),"")</f>
        <v/>
      </c>
      <c r="K200" s="100" t="str">
        <f>IF(FacingSheet!$B$11=15,IF(ISERROR(((((H200*1440)-33)*60)-(((H200*1440)-33)^1.6)*1.667)/86400),"",((((H200*1440)-33)*60)-(((H200*1440)-33)^1.6)*1.667)/86400),"")</f>
        <v/>
      </c>
      <c r="L200" s="100" t="str">
        <f>IF(FacingSheet!$B$11=25,IF(ISERROR(((((H200*1440)-50)*60)-(((H200*1440)-50)^1.6))/86400),"",((((H200*1440)-50)*60)-(((H200*1440)-50)^1.6))/86400),"")</f>
        <v/>
      </c>
      <c r="M200" s="100" t="str">
        <f>IF(FacingSheet!$B$11=30,IF(ISERROR(((((H200*1440)-60)*60)-((((H200*1440)-60)^1.6))/1.2)/86400),"",((((H200*1440)-60)*60)-((((H200*1440)-60)^1.6))/1.2)/86400),"")</f>
        <v/>
      </c>
      <c r="N200" s="100" t="str">
        <f>IF(FacingSheet!$B$11=50,IF(ISERROR(((((H200*1440)-105)*60)-((((H200*1440)-105)^1.6))/2)/86400),"",((((H200*1440)-105)*60)-((((H200*1440)-105)^1.6))/2)/86400),"")</f>
        <v/>
      </c>
      <c r="O200" s="100" t="str">
        <f>IF(FacingSheet!$B$11=100,IF(ISERROR(((((H200*1440)-230)*60)-((((H200*1440)-230)^1.6))/4)/86400),"",((((H200*1440)-230)*60)-((((H200*1440)-230)^1.6))/4)/86400),"")</f>
        <v/>
      </c>
      <c r="P200" s="108" t="str">
        <f>IF(FacingSheet!$B$11=10,J200,IF(FacingSheet!$B$11=15,K200,IF(FacingSheet!$B$11=25,L200,IF(FacingSheet!$B$11=30,M200,IF(FacingSheet!$B$11=50,N200,IF(FacingSheet!$B$11=100,O200,""))))))</f>
        <v/>
      </c>
      <c r="Q200" s="65" t="str">
        <f>IF(OR(F200="V",F200="FV"),IF(I200="","",IF(MONTH(FacingSheet!$S$9)&gt;MONTH(I200),YEAR(FacingSheet!$S$9)-YEAR(I200),IF(AND(MONTH(FacingSheet!$S$9)=MONTH(I200),DAY(FacingSheet!$S$9)&gt;=DAY(I200)),YEAR(FacingSheet!$S$9)-YEAR(I200),(YEAR(FacingSheet!$S$9)-YEAR(I200))-1))),"")</f>
        <v/>
      </c>
      <c r="R200" s="108" t="str">
        <f>IF(Q200="","",IF(FacingSheet!$B$11=10,VLOOKUP(Q200,Age,2,FALSE),IF(FacingSheet!$B$11=15,VLOOKUP(Q200,Age,3,FALSE),IF(FacingSheet!$B$11=25,VLOOKUP(Q200,Age,4,FALSE),IF(FacingSheet!$B$11=30,VLOOKUP(Q200,Age,5,FALSE),IF(FacingSheet!$B$11=50,VLOOKUP(Q200,Age,6,FALSE),IF(FacingSheet!$B$11=100,VLOOKUP(Q200,Age,7,FALSE),"")))))))</f>
        <v/>
      </c>
      <c r="S200" s="108" t="str">
        <f>IF(Q200="","",IF(FacingSheet!$B$11=10,VLOOKUP(Q200,AgeF,2,FALSE),IF(FacingSheet!$B$11=15,VLOOKUP(Q200,AgeF,3,FALSE),IF(FacingSheet!$B$11=25,VLOOKUP(Q200,AgeF,4,FALSE),IF(FacingSheet!$B$11=30,VLOOKUP(Q200,AgeF,5,FALSE),IF(FacingSheet!$B$11=50,VLOOKUP(Q200,AgeF,6,FALSE),IF(FacingSheet!$B$11=100,VLOOKUP(Q200,AgeF,7,FALSE),"")))))))</f>
        <v/>
      </c>
      <c r="T200" s="108" t="str">
        <f t="shared" si="8"/>
        <v/>
      </c>
    </row>
    <row r="201" spans="1:23">
      <c r="A201" s="36"/>
      <c r="B201" s="133"/>
      <c r="C201" s="133"/>
      <c r="D201" s="1" t="str">
        <f t="shared" si="7"/>
        <v xml:space="preserve"> </v>
      </c>
      <c r="E201" s="29"/>
      <c r="F201" s="29"/>
      <c r="G201" s="29"/>
      <c r="H201" s="193"/>
      <c r="I201" s="131"/>
      <c r="J201" s="100" t="str">
        <f>IF(FacingSheet!$B$11=10,IF(ISERROR(((((H201*1440)-20)*60)-(((H201*1440)-20)^1.6)*2.5)/86400),"",((((H201*1440)-20)*60)-(((H201*1440)-20)^1.6)*2.5)/86400),"")</f>
        <v/>
      </c>
      <c r="K201" s="100" t="str">
        <f>IF(FacingSheet!$B$11=15,IF(ISERROR(((((H201*1440)-33)*60)-(((H201*1440)-33)^1.6)*1.667)/86400),"",((((H201*1440)-33)*60)-(((H201*1440)-33)^1.6)*1.667)/86400),"")</f>
        <v/>
      </c>
      <c r="L201" s="100" t="str">
        <f>IF(FacingSheet!$B$11=25,IF(ISERROR(((((H201*1440)-50)*60)-(((H201*1440)-50)^1.6))/86400),"",((((H201*1440)-50)*60)-(((H201*1440)-50)^1.6))/86400),"")</f>
        <v/>
      </c>
      <c r="M201" s="100" t="str">
        <f>IF(FacingSheet!$B$11=30,IF(ISERROR(((((H201*1440)-60)*60)-((((H201*1440)-60)^1.6))/1.2)/86400),"",((((H201*1440)-60)*60)-((((H201*1440)-60)^1.6))/1.2)/86400),"")</f>
        <v/>
      </c>
      <c r="N201" s="100" t="str">
        <f>IF(FacingSheet!$B$11=50,IF(ISERROR(((((H201*1440)-105)*60)-((((H201*1440)-105)^1.6))/2)/86400),"",((((H201*1440)-105)*60)-((((H201*1440)-105)^1.6))/2)/86400),"")</f>
        <v/>
      </c>
      <c r="O201" s="100" t="str">
        <f>IF(FacingSheet!$B$11=100,IF(ISERROR(((((H201*1440)-230)*60)-((((H201*1440)-230)^1.6))/4)/86400),"",((((H201*1440)-230)*60)-((((H201*1440)-230)^1.6))/4)/86400),"")</f>
        <v/>
      </c>
      <c r="P201" s="108" t="str">
        <f>IF(FacingSheet!$B$11=10,J201,IF(FacingSheet!$B$11=15,K201,IF(FacingSheet!$B$11=25,L201,IF(FacingSheet!$B$11=30,M201,IF(FacingSheet!$B$11=50,N201,IF(FacingSheet!$B$11=100,O201,""))))))</f>
        <v/>
      </c>
      <c r="Q201" s="65" t="str">
        <f>IF(OR(F201="V",F201="FV"),IF(I201="","",IF(MONTH(FacingSheet!$S$9)&gt;MONTH(I201),YEAR(FacingSheet!$S$9)-YEAR(I201),IF(AND(MONTH(FacingSheet!$S$9)=MONTH(I201),DAY(FacingSheet!$S$9)&gt;=DAY(I201)),YEAR(FacingSheet!$S$9)-YEAR(I201),(YEAR(FacingSheet!$S$9)-YEAR(I201))-1))),"")</f>
        <v/>
      </c>
      <c r="R201" s="108" t="str">
        <f>IF(Q201="","",IF(FacingSheet!$B$11=10,VLOOKUP(Q201,Age,2,FALSE),IF(FacingSheet!$B$11=15,VLOOKUP(Q201,Age,3,FALSE),IF(FacingSheet!$B$11=25,VLOOKUP(Q201,Age,4,FALSE),IF(FacingSheet!$B$11=30,VLOOKUP(Q201,Age,5,FALSE),IF(FacingSheet!$B$11=50,VLOOKUP(Q201,Age,6,FALSE),IF(FacingSheet!$B$11=100,VLOOKUP(Q201,Age,7,FALSE),"")))))))</f>
        <v/>
      </c>
      <c r="S201" s="108" t="str">
        <f>IF(Q201="","",IF(FacingSheet!$B$11=10,VLOOKUP(Q201,AgeF,2,FALSE),IF(FacingSheet!$B$11=15,VLOOKUP(Q201,AgeF,3,FALSE),IF(FacingSheet!$B$11=25,VLOOKUP(Q201,AgeF,4,FALSE),IF(FacingSheet!$B$11=30,VLOOKUP(Q201,AgeF,5,FALSE),IF(FacingSheet!$B$11=50,VLOOKUP(Q201,AgeF,6,FALSE),IF(FacingSheet!$B$11=100,VLOOKUP(Q201,AgeF,7,FALSE),"")))))))</f>
        <v/>
      </c>
      <c r="T201" s="108" t="str">
        <f t="shared" si="8"/>
        <v/>
      </c>
    </row>
    <row r="202" spans="1:23">
      <c r="A202" s="36"/>
      <c r="E202" s="29"/>
      <c r="U202" s="122"/>
      <c r="W202" s="122"/>
    </row>
    <row r="203" spans="1:23">
      <c r="A203" s="36"/>
      <c r="E203" s="29"/>
    </row>
    <row r="204" spans="1:23">
      <c r="A204" s="36"/>
      <c r="E204" s="29"/>
    </row>
    <row r="205" spans="1:23">
      <c r="A205" s="36"/>
      <c r="E205" s="29"/>
    </row>
    <row r="206" spans="1:23">
      <c r="E206" s="29"/>
    </row>
    <row r="207" spans="1:23">
      <c r="E207" s="29"/>
    </row>
    <row r="208" spans="1:23">
      <c r="E208" s="29"/>
    </row>
  </sheetData>
  <sheetProtection algorithmName="SHA-512" hashValue="gvEuj752BI/5GgDo+j2nLGDrTHJxAQIpGwjo3wQYSMJTCADbTW0B9RB5IgDk/g+tnPSFOlIZOrXqtO/RCIL4MQ==" saltValue="QVF0yChdl8rYfPPXI5znrQ==" spinCount="100000" sheet="1" objects="1" scenarios="1"/>
  <phoneticPr fontId="13" type="noConversion"/>
  <dataValidations count="1">
    <dataValidation type="list" allowBlank="1" showInputMessage="1" showErrorMessage="1" sqref="F2:F201" xr:uid="{00000000-0002-0000-0400-000000000000}">
      <formula1>"S,V,F,FV,JM,JF,YM,YF"</formula1>
    </dataValidation>
  </dataValidations>
  <pageMargins left="0.75" right="0.75" top="1" bottom="1" header="0.5" footer="0.5"/>
  <pageSetup paperSize="9" orientation="portrait" verticalDpi="0" r:id="rId1"/>
  <headerFooter alignWithMargins="0"/>
  <ignoredErrors>
    <ignoredError sqref="D2:D171 L2:O27 Q3:Q30 T2:T30 J2:J4 Q2 K2 K3:K27 L171:O171 L38:O170 J40:J170 K38:K171 J27:J39 K28:O37 J5:J26 J17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1"/>
  </sheetPr>
  <dimension ref="A1:P220"/>
  <sheetViews>
    <sheetView showGridLines="0" zoomScaleNormal="100" workbookViewId="0">
      <selection activeCell="L2" sqref="L2:M2"/>
    </sheetView>
  </sheetViews>
  <sheetFormatPr defaultColWidth="9.140625" defaultRowHeight="15" customHeight="1"/>
  <cols>
    <col min="1" max="1" width="4" style="1" bestFit="1" customWidth="1"/>
    <col min="2" max="2" width="8.7109375" style="1" customWidth="1"/>
    <col min="3" max="3" width="9.42578125" style="1" customWidth="1"/>
    <col min="4" max="4" width="5.5703125" customWidth="1"/>
    <col min="5" max="5" width="21.7109375" customWidth="1"/>
    <col min="6" max="6" width="4.140625" style="1" customWidth="1"/>
    <col min="7" max="7" width="19.7109375" style="1" customWidth="1"/>
    <col min="8" max="8" width="5.7109375" style="1" customWidth="1"/>
    <col min="9" max="9" width="4.42578125" style="1" customWidth="1"/>
    <col min="10" max="14" width="9.140625" style="1"/>
    <col min="15" max="15" width="5.7109375" style="1" customWidth="1"/>
    <col min="16" max="16" width="7.85546875" style="1" customWidth="1"/>
    <col min="17" max="17" width="2.28515625" style="1" customWidth="1"/>
    <col min="18" max="16384" width="9.140625" style="1"/>
  </cols>
  <sheetData>
    <row r="1" spans="1:16" ht="20.25" customHeight="1">
      <c r="A1" s="280" t="s">
        <v>64</v>
      </c>
      <c r="B1" s="280"/>
      <c r="C1" s="280"/>
      <c r="D1" s="280"/>
      <c r="E1" s="280"/>
      <c r="F1" s="280"/>
      <c r="G1" s="280"/>
      <c r="H1" s="280"/>
      <c r="I1" s="280"/>
      <c r="J1" s="280"/>
      <c r="K1" s="280"/>
      <c r="L1" s="280"/>
      <c r="M1" s="280"/>
    </row>
    <row r="2" spans="1:16" ht="15" customHeight="1">
      <c r="A2" s="281" t="s">
        <v>65</v>
      </c>
      <c r="B2" s="281"/>
      <c r="C2" s="282">
        <f>IF(ISERROR(FacingSheet!S9),"",FacingSheet!S9)</f>
        <v>45907</v>
      </c>
      <c r="D2" s="283"/>
      <c r="E2" s="79" t="s">
        <v>66</v>
      </c>
      <c r="F2" s="293" t="str">
        <f>IF(FacingSheet!B8="","",FacingSheet!B8)</f>
        <v>Ronnie MacDonald 10 mile TT</v>
      </c>
      <c r="G2" s="294"/>
      <c r="H2" s="294"/>
      <c r="I2" s="295"/>
      <c r="J2" s="291" t="s">
        <v>67</v>
      </c>
      <c r="K2" s="292"/>
      <c r="L2" s="289" t="s">
        <v>68</v>
      </c>
      <c r="M2" s="290"/>
    </row>
    <row r="3" spans="1:16" ht="15" customHeight="1">
      <c r="C3" s="8"/>
      <c r="D3" s="1"/>
      <c r="E3" s="1"/>
    </row>
    <row r="4" spans="1:16" ht="15" customHeight="1">
      <c r="C4" s="8"/>
      <c r="D4" s="1"/>
      <c r="E4" s="1"/>
    </row>
    <row r="5" spans="1:16" ht="15" customHeight="1">
      <c r="C5" s="8"/>
      <c r="D5" s="1"/>
      <c r="E5" s="1"/>
    </row>
    <row r="6" spans="1:16" ht="15" customHeight="1">
      <c r="C6" s="8"/>
      <c r="D6" s="1"/>
      <c r="E6" s="1"/>
    </row>
    <row r="7" spans="1:16" ht="15" customHeight="1">
      <c r="C7" s="8"/>
      <c r="D7" s="1"/>
      <c r="E7" s="1"/>
    </row>
    <row r="8" spans="1:16" ht="15" customHeight="1">
      <c r="C8" s="9"/>
      <c r="D8" s="1"/>
      <c r="E8" s="1"/>
    </row>
    <row r="9" spans="1:16" s="12" customFormat="1" ht="15" customHeight="1">
      <c r="A9" s="10"/>
      <c r="B9" s="17"/>
      <c r="C9" s="11"/>
      <c r="D9" s="18"/>
      <c r="E9" s="11"/>
      <c r="F9" s="10"/>
      <c r="G9" s="10"/>
      <c r="H9" s="284" t="s">
        <v>69</v>
      </c>
      <c r="I9" s="285"/>
      <c r="J9" s="286" t="s">
        <v>70</v>
      </c>
      <c r="K9" s="287"/>
      <c r="L9" s="287"/>
      <c r="M9" s="287"/>
      <c r="N9" s="287"/>
      <c r="O9" s="287"/>
      <c r="P9" s="288"/>
    </row>
    <row r="10" spans="1:16" s="12" customFormat="1" ht="15" customHeight="1">
      <c r="A10" s="19" t="s">
        <v>71</v>
      </c>
      <c r="B10" s="24" t="s">
        <v>41</v>
      </c>
      <c r="C10" s="25"/>
      <c r="D10" s="297" t="s">
        <v>72</v>
      </c>
      <c r="E10" s="298"/>
      <c r="F10" s="19" t="s">
        <v>43</v>
      </c>
      <c r="G10" s="19" t="s">
        <v>73</v>
      </c>
      <c r="H10" s="274" t="s">
        <v>74</v>
      </c>
      <c r="I10" s="275"/>
      <c r="J10" s="276" t="s">
        <v>75</v>
      </c>
      <c r="K10" s="276"/>
      <c r="L10" s="276"/>
      <c r="M10" s="276"/>
      <c r="N10" s="276" t="s">
        <v>76</v>
      </c>
      <c r="O10" s="276"/>
      <c r="P10" s="20" t="s">
        <v>77</v>
      </c>
    </row>
    <row r="11" spans="1:16" ht="15" customHeight="1">
      <c r="A11" s="107">
        <v>1</v>
      </c>
      <c r="B11" s="39" t="str">
        <f t="shared" ref="B11:B42" si="0">IF(IF(ISNA(VLOOKUP(A11,Entrants,4,FALSE)),"",VLOOKUP(A11,Entrants,4,FALSE))="","",IF(ISNA(VLOOKUP(A11,Entrants,4,FALSE)),"",VLOOKUP(A11,Entrants,4,FALSE)))</f>
        <v/>
      </c>
      <c r="C11" s="26"/>
      <c r="D11" s="42" t="str">
        <f t="shared" ref="D11:D42" si="1">IF(IF(ISNA(VLOOKUP(A11,Entrants,5,FALSE)),"",VLOOKUP(A11,Entrants,5,FALSE))=0,"",IF(ISNA(VLOOKUP(A11,Entrants,5,FALSE)),"",VLOOKUP(A11,Entrants,5,FALSE)))</f>
        <v/>
      </c>
      <c r="E11" s="54"/>
      <c r="F11" s="55" t="str">
        <f t="shared" ref="F11:F42" si="2">IF(IF(ISNA(VLOOKUP(A11,Entrants,6,FALSE)),"",VLOOKUP(A11,Entrants,6,FALSE))=0,"",IF(ISNA(VLOOKUP(A11,Entrants,6,FALSE)),"",VLOOKUP(A11,Entrants,6,FALSE)))</f>
        <v/>
      </c>
      <c r="G11" s="27"/>
      <c r="H11" s="299" t="str">
        <f t="shared" ref="H11:H42" si="3">IF(IF(ISNA(VLOOKUP(A11,Entrants,7,FALSE)),"",VLOOKUP(A11,Entrants,7,FALSE))=0,"",IF(ISNA(VLOOKUP(A11,Entrants,7,FALSE)),"",VLOOKUP(A11,Entrants,7,FALSE)))</f>
        <v/>
      </c>
      <c r="I11" s="300"/>
      <c r="J11" s="277"/>
      <c r="K11" s="277"/>
      <c r="L11" s="277"/>
      <c r="M11" s="278"/>
      <c r="N11" s="279"/>
      <c r="O11" s="278"/>
      <c r="P11" s="21"/>
    </row>
    <row r="12" spans="1:16" ht="15" customHeight="1">
      <c r="A12" s="13">
        <v>2</v>
      </c>
      <c r="B12" s="39" t="str">
        <f t="shared" si="0"/>
        <v>Stan MacKenzie</v>
      </c>
      <c r="C12" s="32"/>
      <c r="D12" s="52" t="str">
        <f t="shared" si="1"/>
        <v>Ross-Shire RCC</v>
      </c>
      <c r="E12" s="32"/>
      <c r="F12" s="53" t="str">
        <f t="shared" si="2"/>
        <v>V</v>
      </c>
      <c r="G12" s="14"/>
      <c r="H12" s="269" t="str">
        <f t="shared" si="3"/>
        <v>1062018</v>
      </c>
      <c r="I12" s="269"/>
      <c r="J12" s="296"/>
      <c r="K12" s="296"/>
      <c r="L12" s="296"/>
      <c r="M12" s="296"/>
      <c r="N12" s="270"/>
      <c r="O12" s="270"/>
      <c r="P12" s="22"/>
    </row>
    <row r="13" spans="1:16" ht="15" customHeight="1">
      <c r="A13" s="48">
        <v>3</v>
      </c>
      <c r="B13" s="39" t="str">
        <f t="shared" si="0"/>
        <v>Alan Horsburgh</v>
      </c>
      <c r="C13" s="40"/>
      <c r="D13" s="52" t="str">
        <f t="shared" si="1"/>
        <v>Inverness Cycle Club</v>
      </c>
      <c r="E13" s="31"/>
      <c r="F13" s="53" t="str">
        <f t="shared" si="2"/>
        <v>V</v>
      </c>
      <c r="G13" s="15"/>
      <c r="H13" s="269" t="str">
        <f t="shared" si="3"/>
        <v>955248</v>
      </c>
      <c r="I13" s="269"/>
      <c r="J13" s="270"/>
      <c r="K13" s="270"/>
      <c r="L13" s="270"/>
      <c r="M13" s="270"/>
      <c r="N13" s="270"/>
      <c r="O13" s="270"/>
      <c r="P13" s="23"/>
    </row>
    <row r="14" spans="1:16" ht="15" customHeight="1">
      <c r="A14" s="13">
        <v>4</v>
      </c>
      <c r="B14" s="39" t="str">
        <f t="shared" si="0"/>
        <v>Matthew Jones</v>
      </c>
      <c r="C14" s="40"/>
      <c r="D14" s="52" t="str">
        <f t="shared" si="1"/>
        <v>Ross-Shire RCC</v>
      </c>
      <c r="E14" s="31"/>
      <c r="F14" s="53" t="str">
        <f t="shared" si="2"/>
        <v>V</v>
      </c>
      <c r="G14" s="15"/>
      <c r="H14" s="269" t="str">
        <f t="shared" si="3"/>
        <v>1856912</v>
      </c>
      <c r="I14" s="269"/>
      <c r="J14" s="270"/>
      <c r="K14" s="270"/>
      <c r="L14" s="270"/>
      <c r="M14" s="270"/>
      <c r="N14" s="270"/>
      <c r="O14" s="270"/>
      <c r="P14" s="23"/>
    </row>
    <row r="15" spans="1:16" ht="15" customHeight="1">
      <c r="A15" s="48">
        <v>5</v>
      </c>
      <c r="B15" s="39" t="str">
        <f t="shared" si="0"/>
        <v>Daniel Sutherland</v>
      </c>
      <c r="C15" s="40"/>
      <c r="D15" s="52" t="str">
        <f t="shared" si="1"/>
        <v>Moray Firth Cycling Club</v>
      </c>
      <c r="E15" s="31"/>
      <c r="F15" s="53" t="str">
        <f t="shared" si="2"/>
        <v>V</v>
      </c>
      <c r="G15" s="14"/>
      <c r="H15" s="269" t="str">
        <f t="shared" si="3"/>
        <v>1423884</v>
      </c>
      <c r="I15" s="269"/>
      <c r="J15" s="270"/>
      <c r="K15" s="270"/>
      <c r="L15" s="270"/>
      <c r="M15" s="270"/>
      <c r="N15" s="270"/>
      <c r="O15" s="270"/>
      <c r="P15" s="23"/>
    </row>
    <row r="16" spans="1:16" ht="15" customHeight="1">
      <c r="A16" s="13">
        <v>6</v>
      </c>
      <c r="B16" s="39" t="str">
        <f t="shared" si="0"/>
        <v>julie cleghorn</v>
      </c>
      <c r="C16" s="40"/>
      <c r="D16" s="52" t="str">
        <f t="shared" si="1"/>
        <v>Ross-Shire RCC</v>
      </c>
      <c r="E16" s="31"/>
      <c r="F16" s="53" t="str">
        <f t="shared" si="2"/>
        <v>FV</v>
      </c>
      <c r="G16" s="15"/>
      <c r="H16" s="269" t="str">
        <f t="shared" si="3"/>
        <v/>
      </c>
      <c r="I16" s="269"/>
      <c r="J16" s="270"/>
      <c r="K16" s="270"/>
      <c r="L16" s="270"/>
      <c r="M16" s="270"/>
      <c r="N16" s="270"/>
      <c r="O16" s="270"/>
      <c r="P16" s="23"/>
    </row>
    <row r="17" spans="1:16" ht="15" customHeight="1">
      <c r="A17" s="48">
        <v>7</v>
      </c>
      <c r="B17" s="39" t="str">
        <f t="shared" si="0"/>
        <v>Jonathan Forbes</v>
      </c>
      <c r="C17" s="40"/>
      <c r="D17" s="52" t="str">
        <f t="shared" si="1"/>
        <v>Ross-Shire RCC</v>
      </c>
      <c r="E17" s="31"/>
      <c r="F17" s="53" t="str">
        <f t="shared" si="2"/>
        <v>S</v>
      </c>
      <c r="G17" s="15"/>
      <c r="H17" s="269" t="str">
        <f t="shared" si="3"/>
        <v>1359206</v>
      </c>
      <c r="I17" s="269"/>
      <c r="J17" s="270"/>
      <c r="K17" s="270"/>
      <c r="L17" s="270"/>
      <c r="M17" s="270"/>
      <c r="N17" s="270"/>
      <c r="O17" s="270"/>
      <c r="P17" s="23"/>
    </row>
    <row r="18" spans="1:16" ht="15" customHeight="1">
      <c r="A18" s="13">
        <v>8</v>
      </c>
      <c r="B18" s="39" t="str">
        <f t="shared" si="0"/>
        <v>Michael Morris</v>
      </c>
      <c r="C18" s="40"/>
      <c r="D18" s="52" t="str">
        <f t="shared" si="1"/>
        <v>Cairngorm CC</v>
      </c>
      <c r="E18" s="31"/>
      <c r="F18" s="53" t="str">
        <f t="shared" si="2"/>
        <v>V</v>
      </c>
      <c r="G18" s="15"/>
      <c r="H18" s="269" t="str">
        <f t="shared" si="3"/>
        <v>1729605</v>
      </c>
      <c r="I18" s="269"/>
      <c r="J18" s="270"/>
      <c r="K18" s="270"/>
      <c r="L18" s="270"/>
      <c r="M18" s="270"/>
      <c r="N18" s="270"/>
      <c r="O18" s="270"/>
      <c r="P18" s="23"/>
    </row>
    <row r="19" spans="1:16" ht="15" customHeight="1">
      <c r="A19" s="48">
        <v>9</v>
      </c>
      <c r="B19" s="39" t="str">
        <f t="shared" si="0"/>
        <v>Fiona Barrett</v>
      </c>
      <c r="C19" s="40"/>
      <c r="D19" s="52" t="str">
        <f t="shared" si="1"/>
        <v>Inverness Cycle Club</v>
      </c>
      <c r="E19" s="31"/>
      <c r="F19" s="53" t="str">
        <f t="shared" si="2"/>
        <v>FV</v>
      </c>
      <c r="G19" s="15"/>
      <c r="H19" s="269" t="str">
        <f t="shared" si="3"/>
        <v>1121741</v>
      </c>
      <c r="I19" s="269"/>
      <c r="J19" s="270"/>
      <c r="K19" s="270"/>
      <c r="L19" s="270"/>
      <c r="M19" s="270"/>
      <c r="N19" s="270"/>
      <c r="O19" s="270"/>
      <c r="P19" s="23"/>
    </row>
    <row r="20" spans="1:16" ht="15" customHeight="1">
      <c r="A20" s="13">
        <v>10</v>
      </c>
      <c r="B20" s="39" t="str">
        <f t="shared" si="0"/>
        <v>Mark Walker</v>
      </c>
      <c r="C20" s="40"/>
      <c r="D20" s="52" t="str">
        <f t="shared" si="1"/>
        <v>Deeside Thistle CC</v>
      </c>
      <c r="E20" s="31"/>
      <c r="F20" s="53" t="str">
        <f t="shared" si="2"/>
        <v>V</v>
      </c>
      <c r="G20" s="15"/>
      <c r="H20" s="269" t="str">
        <f t="shared" si="3"/>
        <v>1071246</v>
      </c>
      <c r="I20" s="269"/>
      <c r="J20" s="270"/>
      <c r="K20" s="270"/>
      <c r="L20" s="270"/>
      <c r="M20" s="270"/>
      <c r="N20" s="270"/>
      <c r="O20" s="270"/>
      <c r="P20" s="23"/>
    </row>
    <row r="21" spans="1:16" ht="15" customHeight="1">
      <c r="A21" s="48">
        <v>11</v>
      </c>
      <c r="B21" s="39" t="str">
        <f t="shared" si="0"/>
        <v>Breagha Beaton</v>
      </c>
      <c r="C21" s="40"/>
      <c r="D21" s="52" t="str">
        <f t="shared" si="1"/>
        <v>Moray Firth Cycling Club</v>
      </c>
      <c r="E21" s="31"/>
      <c r="F21" s="53" t="str">
        <f t="shared" si="2"/>
        <v>F</v>
      </c>
      <c r="G21" s="15"/>
      <c r="H21" s="269" t="str">
        <f t="shared" si="3"/>
        <v>1726711</v>
      </c>
      <c r="I21" s="269"/>
      <c r="J21" s="270"/>
      <c r="K21" s="270"/>
      <c r="L21" s="270"/>
      <c r="M21" s="270"/>
      <c r="N21" s="270"/>
      <c r="O21" s="270"/>
      <c r="P21" s="23"/>
    </row>
    <row r="22" spans="1:16" ht="15" customHeight="1">
      <c r="A22" s="13">
        <v>12</v>
      </c>
      <c r="B22" s="39" t="str">
        <f t="shared" si="0"/>
        <v>Ruth Jeays</v>
      </c>
      <c r="C22" s="40"/>
      <c r="D22" s="52" t="str">
        <f t="shared" si="1"/>
        <v>Revolution CT</v>
      </c>
      <c r="E22" s="31"/>
      <c r="F22" s="53" t="str">
        <f t="shared" si="2"/>
        <v>FV</v>
      </c>
      <c r="G22" s="15"/>
      <c r="H22" s="269" t="str">
        <f t="shared" si="3"/>
        <v>1009647</v>
      </c>
      <c r="I22" s="269"/>
      <c r="J22" s="270"/>
      <c r="K22" s="270"/>
      <c r="L22" s="270"/>
      <c r="M22" s="270"/>
      <c r="N22" s="270"/>
      <c r="O22" s="270"/>
      <c r="P22" s="23"/>
    </row>
    <row r="23" spans="1:16" ht="15" customHeight="1">
      <c r="A23" s="48">
        <v>13</v>
      </c>
      <c r="B23" s="39" t="str">
        <f t="shared" si="0"/>
        <v>Gillies Grant</v>
      </c>
      <c r="C23" s="40"/>
      <c r="D23" s="52" t="str">
        <f t="shared" si="1"/>
        <v>Forres CC</v>
      </c>
      <c r="E23" s="31"/>
      <c r="F23" s="53" t="str">
        <f t="shared" si="2"/>
        <v>S</v>
      </c>
      <c r="G23" s="15"/>
      <c r="H23" s="269" t="str">
        <f t="shared" si="3"/>
        <v>1711884</v>
      </c>
      <c r="I23" s="269"/>
      <c r="J23" s="270"/>
      <c r="K23" s="270"/>
      <c r="L23" s="270"/>
      <c r="M23" s="270"/>
      <c r="N23" s="270"/>
      <c r="O23" s="270"/>
      <c r="P23" s="23"/>
    </row>
    <row r="24" spans="1:16" ht="15" customHeight="1">
      <c r="A24" s="13">
        <v>14</v>
      </c>
      <c r="B24" s="39" t="str">
        <f t="shared" si="0"/>
        <v>Michael Mcinnes</v>
      </c>
      <c r="C24" s="40"/>
      <c r="D24" s="52" t="str">
        <f t="shared" si="1"/>
        <v>Moray Firth Cycling Club</v>
      </c>
      <c r="E24" s="31"/>
      <c r="F24" s="53" t="str">
        <f t="shared" si="2"/>
        <v>V</v>
      </c>
      <c r="G24" s="15"/>
      <c r="H24" s="269" t="str">
        <f t="shared" si="3"/>
        <v>1807438</v>
      </c>
      <c r="I24" s="269"/>
      <c r="J24" s="270"/>
      <c r="K24" s="270"/>
      <c r="L24" s="270"/>
      <c r="M24" s="270"/>
      <c r="N24" s="270"/>
      <c r="O24" s="270"/>
      <c r="P24" s="23"/>
    </row>
    <row r="25" spans="1:16" ht="15" customHeight="1">
      <c r="A25" s="48">
        <v>15</v>
      </c>
      <c r="B25" s="39" t="str">
        <f t="shared" si="0"/>
        <v>Alasdair Munro</v>
      </c>
      <c r="C25" s="40"/>
      <c r="D25" s="52" t="str">
        <f t="shared" si="1"/>
        <v>RT23</v>
      </c>
      <c r="E25" s="31"/>
      <c r="F25" s="53" t="str">
        <f t="shared" si="2"/>
        <v>S</v>
      </c>
      <c r="G25" s="15"/>
      <c r="H25" s="269" t="str">
        <f t="shared" si="3"/>
        <v>1108729</v>
      </c>
      <c r="I25" s="269"/>
      <c r="J25" s="270"/>
      <c r="K25" s="270"/>
      <c r="L25" s="270"/>
      <c r="M25" s="270"/>
      <c r="N25" s="270"/>
      <c r="O25" s="270"/>
      <c r="P25" s="23"/>
    </row>
    <row r="26" spans="1:16" ht="15" customHeight="1">
      <c r="A26" s="13">
        <v>16</v>
      </c>
      <c r="B26" s="39" t="str">
        <f t="shared" si="0"/>
        <v>Rhoda Kennedy</v>
      </c>
      <c r="C26" s="40"/>
      <c r="D26" s="52" t="str">
        <f t="shared" si="1"/>
        <v>Ross-Shire RCC</v>
      </c>
      <c r="E26" s="31"/>
      <c r="F26" s="53" t="str">
        <f t="shared" si="2"/>
        <v>FV</v>
      </c>
      <c r="G26" s="15"/>
      <c r="H26" s="269" t="str">
        <f t="shared" si="3"/>
        <v>1382055</v>
      </c>
      <c r="I26" s="269"/>
      <c r="J26" s="270"/>
      <c r="K26" s="270"/>
      <c r="L26" s="270"/>
      <c r="M26" s="270"/>
      <c r="N26" s="270"/>
      <c r="O26" s="270"/>
      <c r="P26" s="23"/>
    </row>
    <row r="27" spans="1:16" ht="15" customHeight="1">
      <c r="A27" s="48">
        <v>17</v>
      </c>
      <c r="B27" s="39" t="str">
        <f t="shared" si="0"/>
        <v>Kenneth McKenzie</v>
      </c>
      <c r="C27" s="40"/>
      <c r="D27" s="52" t="str">
        <f t="shared" si="1"/>
        <v>Ross-Shire RCC</v>
      </c>
      <c r="E27" s="31"/>
      <c r="F27" s="53" t="str">
        <f t="shared" si="2"/>
        <v>V</v>
      </c>
      <c r="G27" s="15"/>
      <c r="H27" s="269" t="str">
        <f t="shared" si="3"/>
        <v>1823463</v>
      </c>
      <c r="I27" s="269"/>
      <c r="J27" s="270"/>
      <c r="K27" s="270"/>
      <c r="L27" s="270"/>
      <c r="M27" s="270"/>
      <c r="N27" s="270"/>
      <c r="O27" s="270"/>
      <c r="P27" s="23"/>
    </row>
    <row r="28" spans="1:16" ht="15" customHeight="1">
      <c r="A28" s="13">
        <v>18</v>
      </c>
      <c r="B28" s="39" t="str">
        <f t="shared" si="0"/>
        <v>Ian Grant</v>
      </c>
      <c r="C28" s="40"/>
      <c r="D28" s="52" t="str">
        <f t="shared" si="1"/>
        <v>Deeside Thistle CC</v>
      </c>
      <c r="E28" s="31"/>
      <c r="F28" s="53" t="str">
        <f t="shared" si="2"/>
        <v>V</v>
      </c>
      <c r="G28" s="15"/>
      <c r="H28" s="269" t="str">
        <f t="shared" si="3"/>
        <v>460001</v>
      </c>
      <c r="I28" s="269"/>
      <c r="J28" s="270"/>
      <c r="K28" s="270"/>
      <c r="L28" s="270"/>
      <c r="M28" s="270"/>
      <c r="N28" s="270"/>
      <c r="O28" s="270"/>
      <c r="P28" s="23"/>
    </row>
    <row r="29" spans="1:16" ht="15" customHeight="1">
      <c r="A29" s="48">
        <v>19</v>
      </c>
      <c r="B29" s="39" t="str">
        <f t="shared" si="0"/>
        <v>Zoe Newsam</v>
      </c>
      <c r="C29" s="40"/>
      <c r="D29" s="52" t="str">
        <f t="shared" si="1"/>
        <v>Scottish Veterans T.T.A.</v>
      </c>
      <c r="E29" s="31"/>
      <c r="F29" s="53" t="str">
        <f t="shared" si="2"/>
        <v>FV</v>
      </c>
      <c r="G29" s="15"/>
      <c r="H29" s="269" t="str">
        <f t="shared" si="3"/>
        <v>920951</v>
      </c>
      <c r="I29" s="269"/>
      <c r="J29" s="270"/>
      <c r="K29" s="270"/>
      <c r="L29" s="270"/>
      <c r="M29" s="270"/>
      <c r="N29" s="270"/>
      <c r="O29" s="270"/>
      <c r="P29" s="23"/>
    </row>
    <row r="30" spans="1:16" ht="15" customHeight="1">
      <c r="A30" s="13">
        <v>20</v>
      </c>
      <c r="B30" s="39" t="str">
        <f t="shared" si="0"/>
        <v>Jeremy Hubbard</v>
      </c>
      <c r="C30" s="40"/>
      <c r="D30" s="52" t="str">
        <f t="shared" si="1"/>
        <v>Cairngorm CC</v>
      </c>
      <c r="E30" s="31"/>
      <c r="F30" s="53" t="str">
        <f t="shared" si="2"/>
        <v>S</v>
      </c>
      <c r="G30" s="15"/>
      <c r="H30" s="269" t="str">
        <f t="shared" si="3"/>
        <v>1267380</v>
      </c>
      <c r="I30" s="269"/>
      <c r="J30" s="270"/>
      <c r="K30" s="270"/>
      <c r="L30" s="270"/>
      <c r="M30" s="270"/>
      <c r="N30" s="270"/>
      <c r="O30" s="270"/>
      <c r="P30" s="23"/>
    </row>
    <row r="31" spans="1:16" ht="15" customHeight="1">
      <c r="A31" s="48">
        <v>21</v>
      </c>
      <c r="B31" s="39" t="str">
        <f t="shared" si="0"/>
        <v>Amy Renwick</v>
      </c>
      <c r="C31" s="40"/>
      <c r="D31" s="52" t="str">
        <f t="shared" si="1"/>
        <v>Moray Firth Cycling Club</v>
      </c>
      <c r="E31" s="31"/>
      <c r="F31" s="53" t="str">
        <f t="shared" si="2"/>
        <v>F</v>
      </c>
      <c r="G31" s="15"/>
      <c r="H31" s="269" t="str">
        <f t="shared" si="3"/>
        <v>1553215</v>
      </c>
      <c r="I31" s="269"/>
      <c r="J31" s="270"/>
      <c r="K31" s="270"/>
      <c r="L31" s="270"/>
      <c r="M31" s="270"/>
      <c r="N31" s="270"/>
      <c r="O31" s="270"/>
      <c r="P31" s="23"/>
    </row>
    <row r="32" spans="1:16" ht="15" customHeight="1">
      <c r="A32" s="13">
        <v>22</v>
      </c>
      <c r="B32" s="39" t="str">
        <f t="shared" si="0"/>
        <v>Eva Murphy</v>
      </c>
      <c r="C32" s="40"/>
      <c r="D32" s="52" t="str">
        <f t="shared" si="1"/>
        <v>Deeside Thistle CC</v>
      </c>
      <c r="E32" s="31"/>
      <c r="F32" s="53" t="str">
        <f t="shared" si="2"/>
        <v>JF</v>
      </c>
      <c r="G32" s="15"/>
      <c r="H32" s="269" t="str">
        <f t="shared" si="3"/>
        <v>1346462</v>
      </c>
      <c r="I32" s="269"/>
      <c r="J32" s="270"/>
      <c r="K32" s="270"/>
      <c r="L32" s="270"/>
      <c r="M32" s="270"/>
      <c r="N32" s="270"/>
      <c r="O32" s="270"/>
      <c r="P32" s="23"/>
    </row>
    <row r="33" spans="1:16" ht="15" customHeight="1">
      <c r="A33" s="48">
        <v>23</v>
      </c>
      <c r="B33" s="39" t="str">
        <f t="shared" si="0"/>
        <v>Millie Thomson</v>
      </c>
      <c r="C33" s="40"/>
      <c r="D33" s="52" t="str">
        <f t="shared" si="1"/>
        <v>Solas Cycling</v>
      </c>
      <c r="E33" s="31"/>
      <c r="F33" s="53" t="str">
        <f t="shared" si="2"/>
        <v>F</v>
      </c>
      <c r="G33" s="15"/>
      <c r="H33" s="269" t="str">
        <f t="shared" si="3"/>
        <v>1151288</v>
      </c>
      <c r="I33" s="269"/>
      <c r="J33" s="270"/>
      <c r="K33" s="270"/>
      <c r="L33" s="270"/>
      <c r="M33" s="270"/>
      <c r="N33" s="270"/>
      <c r="O33" s="270"/>
      <c r="P33" s="23"/>
    </row>
    <row r="34" spans="1:16" ht="15" customHeight="1">
      <c r="A34" s="13">
        <v>24</v>
      </c>
      <c r="B34" s="39" t="str">
        <f t="shared" si="0"/>
        <v>Malcolm Grant</v>
      </c>
      <c r="C34" s="40"/>
      <c r="D34" s="52" t="str">
        <f t="shared" si="1"/>
        <v>Pedal Power Inverurie</v>
      </c>
      <c r="E34" s="31"/>
      <c r="F34" s="53" t="str">
        <f t="shared" si="2"/>
        <v>V</v>
      </c>
      <c r="G34" s="15"/>
      <c r="H34" s="269" t="str">
        <f t="shared" si="3"/>
        <v>201791</v>
      </c>
      <c r="I34" s="269"/>
      <c r="J34" s="270"/>
      <c r="K34" s="270"/>
      <c r="L34" s="270"/>
      <c r="M34" s="270"/>
      <c r="N34" s="270"/>
      <c r="O34" s="270"/>
      <c r="P34" s="23"/>
    </row>
    <row r="35" spans="1:16" ht="15" customHeight="1">
      <c r="A35" s="48">
        <v>25</v>
      </c>
      <c r="B35" s="39" t="str">
        <f t="shared" si="0"/>
        <v>Lewis Dey</v>
      </c>
      <c r="C35" s="40"/>
      <c r="D35" s="52" t="str">
        <f t="shared" si="1"/>
        <v>RT23</v>
      </c>
      <c r="E35" s="31"/>
      <c r="F35" s="53" t="str">
        <f t="shared" si="2"/>
        <v>S</v>
      </c>
      <c r="G35" s="15"/>
      <c r="H35" s="269" t="str">
        <f t="shared" si="3"/>
        <v>1446647</v>
      </c>
      <c r="I35" s="269"/>
      <c r="J35" s="270"/>
      <c r="K35" s="270"/>
      <c r="L35" s="270"/>
      <c r="M35" s="270"/>
      <c r="N35" s="270"/>
      <c r="O35" s="270"/>
      <c r="P35" s="23"/>
    </row>
    <row r="36" spans="1:16" ht="15" customHeight="1">
      <c r="A36" s="13">
        <v>26</v>
      </c>
      <c r="B36" s="39" t="str">
        <f t="shared" si="0"/>
        <v>Innis Mitchell</v>
      </c>
      <c r="C36" s="40"/>
      <c r="D36" s="52" t="str">
        <f t="shared" si="1"/>
        <v>Ross-Shire RCC</v>
      </c>
      <c r="E36" s="31"/>
      <c r="F36" s="53" t="str">
        <f t="shared" si="2"/>
        <v>V</v>
      </c>
      <c r="G36" s="14"/>
      <c r="H36" s="269" t="str">
        <f t="shared" si="3"/>
        <v>838764</v>
      </c>
      <c r="I36" s="269"/>
      <c r="J36" s="270"/>
      <c r="K36" s="270"/>
      <c r="L36" s="270"/>
      <c r="M36" s="270"/>
      <c r="N36" s="270"/>
      <c r="O36" s="270"/>
      <c r="P36" s="23"/>
    </row>
    <row r="37" spans="1:16" ht="15" customHeight="1">
      <c r="A37" s="48">
        <v>27</v>
      </c>
      <c r="B37" s="39" t="str">
        <f t="shared" si="0"/>
        <v>Lorna Breetzke</v>
      </c>
      <c r="C37" s="40"/>
      <c r="D37" s="52" t="str">
        <f t="shared" si="1"/>
        <v>Elgin CC</v>
      </c>
      <c r="E37" s="31"/>
      <c r="F37" s="53" t="str">
        <f t="shared" si="2"/>
        <v>FV</v>
      </c>
      <c r="G37" s="14"/>
      <c r="H37" s="269" t="str">
        <f t="shared" si="3"/>
        <v>1494994</v>
      </c>
      <c r="I37" s="269"/>
      <c r="J37" s="270"/>
      <c r="K37" s="270"/>
      <c r="L37" s="270"/>
      <c r="M37" s="270"/>
      <c r="N37" s="270"/>
      <c r="O37" s="270"/>
      <c r="P37" s="23"/>
    </row>
    <row r="38" spans="1:16" ht="15" customHeight="1">
      <c r="A38" s="13">
        <v>28</v>
      </c>
      <c r="B38" s="39" t="str">
        <f t="shared" si="0"/>
        <v>Phil Cameron</v>
      </c>
      <c r="C38" s="40"/>
      <c r="D38" s="52" t="str">
        <f t="shared" si="1"/>
        <v>Elgin CC</v>
      </c>
      <c r="E38" s="31"/>
      <c r="F38" s="53" t="str">
        <f t="shared" si="2"/>
        <v>V</v>
      </c>
      <c r="G38" s="15"/>
      <c r="H38" s="269" t="str">
        <f t="shared" si="3"/>
        <v>1736632</v>
      </c>
      <c r="I38" s="269"/>
      <c r="J38" s="270"/>
      <c r="K38" s="270"/>
      <c r="L38" s="270"/>
      <c r="M38" s="270"/>
      <c r="N38" s="270"/>
      <c r="O38" s="270"/>
      <c r="P38" s="23"/>
    </row>
    <row r="39" spans="1:16" ht="15" customHeight="1">
      <c r="A39" s="48">
        <v>29</v>
      </c>
      <c r="B39" s="39" t="str">
        <f t="shared" si="0"/>
        <v>Christine Brumhead</v>
      </c>
      <c r="C39" s="40"/>
      <c r="D39" s="52" t="str">
        <f t="shared" si="1"/>
        <v>Inverness Cycle Club</v>
      </c>
      <c r="E39" s="31"/>
      <c r="F39" s="53" t="str">
        <f t="shared" si="2"/>
        <v>FV</v>
      </c>
      <c r="G39" s="15"/>
      <c r="H39" s="269" t="str">
        <f t="shared" si="3"/>
        <v>1760730</v>
      </c>
      <c r="I39" s="269"/>
      <c r="J39" s="270"/>
      <c r="K39" s="270"/>
      <c r="L39" s="270"/>
      <c r="M39" s="270"/>
      <c r="N39" s="270"/>
      <c r="O39" s="270"/>
      <c r="P39" s="23"/>
    </row>
    <row r="40" spans="1:16" ht="15" customHeight="1">
      <c r="A40" s="13">
        <v>30</v>
      </c>
      <c r="B40" s="39" t="str">
        <f t="shared" si="0"/>
        <v>Tom Broadbent</v>
      </c>
      <c r="C40" s="40"/>
      <c r="D40" s="52" t="str">
        <f t="shared" si="1"/>
        <v>MGC RT</v>
      </c>
      <c r="E40" s="31"/>
      <c r="F40" s="53" t="str">
        <f t="shared" si="2"/>
        <v>V</v>
      </c>
      <c r="G40" s="14"/>
      <c r="H40" s="269" t="str">
        <f t="shared" si="3"/>
        <v>441717</v>
      </c>
      <c r="I40" s="269"/>
      <c r="J40" s="270"/>
      <c r="K40" s="270"/>
      <c r="L40" s="270"/>
      <c r="M40" s="270"/>
      <c r="N40" s="270"/>
      <c r="O40" s="270"/>
      <c r="P40" s="23"/>
    </row>
    <row r="41" spans="1:16" ht="15" customHeight="1">
      <c r="A41" s="48">
        <v>31</v>
      </c>
      <c r="B41" s="39" t="str">
        <f t="shared" si="0"/>
        <v>Angus Brumhead</v>
      </c>
      <c r="C41" s="40"/>
      <c r="D41" s="52" t="str">
        <f t="shared" si="1"/>
        <v>Inverness Cycle Club</v>
      </c>
      <c r="E41" s="31"/>
      <c r="F41" s="53" t="str">
        <f t="shared" si="2"/>
        <v>V</v>
      </c>
      <c r="G41" s="15"/>
      <c r="H41" s="269" t="str">
        <f t="shared" si="3"/>
        <v>1760731</v>
      </c>
      <c r="I41" s="269"/>
      <c r="J41" s="270"/>
      <c r="K41" s="270"/>
      <c r="L41" s="270"/>
      <c r="M41" s="270"/>
      <c r="N41" s="270"/>
      <c r="O41" s="270"/>
      <c r="P41" s="23"/>
    </row>
    <row r="42" spans="1:16" ht="15" customHeight="1">
      <c r="A42" s="13">
        <v>32</v>
      </c>
      <c r="B42" s="39" t="str">
        <f t="shared" si="0"/>
        <v>Kyle Cattanach</v>
      </c>
      <c r="C42" s="40"/>
      <c r="D42" s="52" t="str">
        <f t="shared" si="1"/>
        <v>Moray Firth Cycling Club</v>
      </c>
      <c r="E42" s="31"/>
      <c r="F42" s="53" t="str">
        <f t="shared" si="2"/>
        <v>S</v>
      </c>
      <c r="G42" s="15"/>
      <c r="H42" s="269" t="str">
        <f t="shared" si="3"/>
        <v>1834071</v>
      </c>
      <c r="I42" s="269"/>
      <c r="J42" s="270"/>
      <c r="K42" s="270"/>
      <c r="L42" s="270"/>
      <c r="M42" s="270"/>
      <c r="N42" s="270"/>
      <c r="O42" s="270"/>
      <c r="P42" s="23"/>
    </row>
    <row r="43" spans="1:16" ht="15" customHeight="1">
      <c r="A43" s="48">
        <v>33</v>
      </c>
      <c r="B43" s="39" t="str">
        <f t="shared" ref="B43:B74" si="4">IF(IF(ISNA(VLOOKUP(A43,Entrants,4,FALSE)),"",VLOOKUP(A43,Entrants,4,FALSE))="","",IF(ISNA(VLOOKUP(A43,Entrants,4,FALSE)),"",VLOOKUP(A43,Entrants,4,FALSE)))</f>
        <v>James Shewan</v>
      </c>
      <c r="C43" s="40"/>
      <c r="D43" s="52" t="str">
        <f t="shared" ref="D43:D74" si="5">IF(IF(ISNA(VLOOKUP(A43,Entrants,5,FALSE)),"",VLOOKUP(A43,Entrants,5,FALSE))=0,"",IF(ISNA(VLOOKUP(A43,Entrants,5,FALSE)),"",VLOOKUP(A43,Entrants,5,FALSE)))</f>
        <v>Moray Firth Cycling Club</v>
      </c>
      <c r="E43" s="31"/>
      <c r="F43" s="53" t="str">
        <f t="shared" ref="F43:F74" si="6">IF(IF(ISNA(VLOOKUP(A43,Entrants,6,FALSE)),"",VLOOKUP(A43,Entrants,6,FALSE))=0,"",IF(ISNA(VLOOKUP(A43,Entrants,6,FALSE)),"",VLOOKUP(A43,Entrants,6,FALSE)))</f>
        <v>S</v>
      </c>
      <c r="G43" s="15"/>
      <c r="H43" s="269" t="str">
        <f t="shared" ref="H43:H74" si="7">IF(IF(ISNA(VLOOKUP(A43,Entrants,7,FALSE)),"",VLOOKUP(A43,Entrants,7,FALSE))=0,"",IF(ISNA(VLOOKUP(A43,Entrants,7,FALSE)),"",VLOOKUP(A43,Entrants,7,FALSE)))</f>
        <v>1253402</v>
      </c>
      <c r="I43" s="269"/>
      <c r="J43" s="270"/>
      <c r="K43" s="270"/>
      <c r="L43" s="270"/>
      <c r="M43" s="270"/>
      <c r="N43" s="270"/>
      <c r="O43" s="270"/>
      <c r="P43" s="23"/>
    </row>
    <row r="44" spans="1:16" ht="15" customHeight="1">
      <c r="A44" s="13">
        <v>34</v>
      </c>
      <c r="B44" s="39" t="str">
        <f t="shared" si="4"/>
        <v>Andrew Paterson</v>
      </c>
      <c r="C44" s="40"/>
      <c r="D44" s="52" t="str">
        <f t="shared" si="5"/>
        <v>Elgin CC</v>
      </c>
      <c r="E44" s="31"/>
      <c r="F44" s="53" t="str">
        <f t="shared" si="6"/>
        <v>JM</v>
      </c>
      <c r="G44" s="15"/>
      <c r="H44" s="269" t="str">
        <f t="shared" si="7"/>
        <v>1820763</v>
      </c>
      <c r="I44" s="269"/>
      <c r="J44" s="270"/>
      <c r="K44" s="270"/>
      <c r="L44" s="270"/>
      <c r="M44" s="270"/>
      <c r="N44" s="270"/>
      <c r="O44" s="270"/>
      <c r="P44" s="23"/>
    </row>
    <row r="45" spans="1:16" ht="15" customHeight="1">
      <c r="A45" s="48">
        <v>35</v>
      </c>
      <c r="B45" s="39" t="str">
        <f t="shared" si="4"/>
        <v>Robin Atkinson</v>
      </c>
      <c r="C45" s="40"/>
      <c r="D45" s="52" t="str">
        <f t="shared" si="5"/>
        <v>Shetland Wheelers</v>
      </c>
      <c r="E45" s="31"/>
      <c r="F45" s="53" t="str">
        <f t="shared" si="6"/>
        <v>V</v>
      </c>
      <c r="G45" s="15"/>
      <c r="H45" s="269" t="str">
        <f t="shared" si="7"/>
        <v>833363</v>
      </c>
      <c r="I45" s="269"/>
      <c r="J45" s="270"/>
      <c r="K45" s="270"/>
      <c r="L45" s="270"/>
      <c r="M45" s="270"/>
      <c r="N45" s="270"/>
      <c r="O45" s="270"/>
      <c r="P45" s="23"/>
    </row>
    <row r="46" spans="1:16" ht="15" customHeight="1">
      <c r="A46" s="13">
        <v>36</v>
      </c>
      <c r="B46" s="39" t="str">
        <f t="shared" si="4"/>
        <v>Malcolm Cleghorn</v>
      </c>
      <c r="C46" s="40"/>
      <c r="D46" s="52" t="str">
        <f t="shared" si="5"/>
        <v>Ross-Shire RCC</v>
      </c>
      <c r="E46" s="31"/>
      <c r="F46" s="53" t="str">
        <f t="shared" si="6"/>
        <v>V</v>
      </c>
      <c r="G46" s="15"/>
      <c r="H46" s="269" t="str">
        <f t="shared" si="7"/>
        <v>1090352</v>
      </c>
      <c r="I46" s="269"/>
      <c r="J46" s="270"/>
      <c r="K46" s="270"/>
      <c r="L46" s="270"/>
      <c r="M46" s="270"/>
      <c r="N46" s="270"/>
      <c r="O46" s="270"/>
      <c r="P46" s="23"/>
    </row>
    <row r="47" spans="1:16" ht="15" customHeight="1">
      <c r="A47" s="48">
        <v>37</v>
      </c>
      <c r="B47" s="39" t="str">
        <f t="shared" si="4"/>
        <v>Steve Rae</v>
      </c>
      <c r="C47" s="40"/>
      <c r="D47" s="52" t="str">
        <f t="shared" si="5"/>
        <v>Ythan CC</v>
      </c>
      <c r="E47" s="31"/>
      <c r="F47" s="53" t="str">
        <f t="shared" si="6"/>
        <v>V</v>
      </c>
      <c r="G47" s="15"/>
      <c r="H47" s="269" t="str">
        <f t="shared" si="7"/>
        <v>1006831</v>
      </c>
      <c r="I47" s="269"/>
      <c r="J47" s="270"/>
      <c r="K47" s="270"/>
      <c r="L47" s="270"/>
      <c r="M47" s="270"/>
      <c r="N47" s="270"/>
      <c r="O47" s="270"/>
      <c r="P47" s="23"/>
    </row>
    <row r="48" spans="1:16" ht="15" customHeight="1">
      <c r="A48" s="13">
        <v>38</v>
      </c>
      <c r="B48" s="39" t="str">
        <f t="shared" si="4"/>
        <v>Alison Roger</v>
      </c>
      <c r="C48" s="40"/>
      <c r="D48" s="52" t="str">
        <f t="shared" si="5"/>
        <v>North Argyll Cycle Club</v>
      </c>
      <c r="E48" s="31"/>
      <c r="F48" s="53" t="str">
        <f t="shared" si="6"/>
        <v>FV</v>
      </c>
      <c r="G48" s="15"/>
      <c r="H48" s="269" t="str">
        <f t="shared" si="7"/>
        <v>1690150</v>
      </c>
      <c r="I48" s="269"/>
      <c r="J48" s="270"/>
      <c r="K48" s="270"/>
      <c r="L48" s="270"/>
      <c r="M48" s="270"/>
      <c r="N48" s="270"/>
      <c r="O48" s="270"/>
      <c r="P48" s="23"/>
    </row>
    <row r="49" spans="1:16" ht="15" customHeight="1">
      <c r="A49" s="48">
        <v>39</v>
      </c>
      <c r="B49" s="39" t="str">
        <f t="shared" si="4"/>
        <v>George Grant</v>
      </c>
      <c r="C49" s="40"/>
      <c r="D49" s="52" t="str">
        <f t="shared" si="5"/>
        <v>Forres CC</v>
      </c>
      <c r="E49" s="31"/>
      <c r="F49" s="53" t="str">
        <f t="shared" si="6"/>
        <v>S</v>
      </c>
      <c r="G49" s="15"/>
      <c r="H49" s="269" t="str">
        <f t="shared" si="7"/>
        <v>201987</v>
      </c>
      <c r="I49" s="269"/>
      <c r="J49" s="270"/>
      <c r="K49" s="270"/>
      <c r="L49" s="270"/>
      <c r="M49" s="270"/>
      <c r="N49" s="270"/>
      <c r="O49" s="270"/>
      <c r="P49" s="23"/>
    </row>
    <row r="50" spans="1:16" ht="15" customHeight="1">
      <c r="A50" s="13">
        <v>40</v>
      </c>
      <c r="B50" s="39" t="str">
        <f t="shared" si="4"/>
        <v>Daniel Long</v>
      </c>
      <c r="C50" s="40"/>
      <c r="D50" s="52" t="str">
        <f t="shared" si="5"/>
        <v>Elgin CC</v>
      </c>
      <c r="E50" s="31"/>
      <c r="F50" s="53" t="str">
        <f t="shared" si="6"/>
        <v>V</v>
      </c>
      <c r="G50" s="15"/>
      <c r="H50" s="269" t="str">
        <f t="shared" si="7"/>
        <v>1382142</v>
      </c>
      <c r="I50" s="269"/>
      <c r="J50" s="270"/>
      <c r="K50" s="270"/>
      <c r="L50" s="270"/>
      <c r="M50" s="270"/>
      <c r="N50" s="270"/>
      <c r="O50" s="270"/>
      <c r="P50" s="23"/>
    </row>
    <row r="51" spans="1:16" ht="15" customHeight="1">
      <c r="A51" s="48">
        <v>41</v>
      </c>
      <c r="B51" s="39" t="str">
        <f t="shared" si="4"/>
        <v/>
      </c>
      <c r="C51" s="40"/>
      <c r="D51" s="52" t="str">
        <f t="shared" si="5"/>
        <v/>
      </c>
      <c r="E51" s="31"/>
      <c r="F51" s="53" t="str">
        <f t="shared" si="6"/>
        <v/>
      </c>
      <c r="G51" s="15"/>
      <c r="H51" s="269" t="str">
        <f t="shared" si="7"/>
        <v/>
      </c>
      <c r="I51" s="269"/>
      <c r="J51" s="270"/>
      <c r="K51" s="270"/>
      <c r="L51" s="270"/>
      <c r="M51" s="270"/>
      <c r="N51" s="270"/>
      <c r="O51" s="270"/>
      <c r="P51" s="23"/>
    </row>
    <row r="52" spans="1:16" ht="15" customHeight="1">
      <c r="A52" s="13">
        <v>42</v>
      </c>
      <c r="B52" s="39" t="str">
        <f t="shared" si="4"/>
        <v>Martin Lugg</v>
      </c>
      <c r="C52" s="40"/>
      <c r="D52" s="52" t="str">
        <f t="shared" si="5"/>
        <v>Revolution CT</v>
      </c>
      <c r="E52" s="31"/>
      <c r="F52" s="53" t="str">
        <f t="shared" si="6"/>
        <v>V</v>
      </c>
      <c r="G52" s="15"/>
      <c r="H52" s="269" t="str">
        <f t="shared" si="7"/>
        <v>442330</v>
      </c>
      <c r="I52" s="269"/>
      <c r="J52" s="270"/>
      <c r="K52" s="270"/>
      <c r="L52" s="270"/>
      <c r="M52" s="270"/>
      <c r="N52" s="270"/>
      <c r="O52" s="270"/>
      <c r="P52" s="23"/>
    </row>
    <row r="53" spans="1:16" ht="15" customHeight="1">
      <c r="A53" s="48">
        <v>43</v>
      </c>
      <c r="B53" s="39" t="str">
        <f t="shared" si="4"/>
        <v>Isla Easto</v>
      </c>
      <c r="C53" s="40"/>
      <c r="D53" s="52" t="str">
        <f t="shared" si="5"/>
        <v>Solas Cycling</v>
      </c>
      <c r="E53" s="31"/>
      <c r="F53" s="53" t="str">
        <f t="shared" si="6"/>
        <v>F</v>
      </c>
      <c r="G53" s="15"/>
      <c r="H53" s="269" t="str">
        <f t="shared" si="7"/>
        <v>1716241</v>
      </c>
      <c r="I53" s="269"/>
      <c r="J53" s="270"/>
      <c r="K53" s="270"/>
      <c r="L53" s="270"/>
      <c r="M53" s="270"/>
      <c r="N53" s="270"/>
      <c r="O53" s="270"/>
      <c r="P53" s="23"/>
    </row>
    <row r="54" spans="1:16" ht="15" customHeight="1">
      <c r="A54" s="13">
        <v>44</v>
      </c>
      <c r="B54" s="39" t="str">
        <f t="shared" si="4"/>
        <v>Robert Cowie</v>
      </c>
      <c r="C54" s="40"/>
      <c r="D54" s="52" t="str">
        <f t="shared" si="5"/>
        <v>Aberdeen Wheelers Cycling Club</v>
      </c>
      <c r="E54" s="31"/>
      <c r="F54" s="53" t="str">
        <f t="shared" si="6"/>
        <v>V</v>
      </c>
      <c r="G54" s="15"/>
      <c r="H54" s="269" t="str">
        <f t="shared" si="7"/>
        <v>436318</v>
      </c>
      <c r="I54" s="269"/>
      <c r="J54" s="270"/>
      <c r="K54" s="270"/>
      <c r="L54" s="270"/>
      <c r="M54" s="270"/>
      <c r="N54" s="270"/>
      <c r="O54" s="270"/>
      <c r="P54" s="23"/>
    </row>
    <row r="55" spans="1:16" ht="15" customHeight="1">
      <c r="A55" s="48">
        <v>45</v>
      </c>
      <c r="B55" s="39" t="str">
        <f t="shared" si="4"/>
        <v>Colin Johnston</v>
      </c>
      <c r="C55" s="40"/>
      <c r="D55" s="52" t="str">
        <f t="shared" si="5"/>
        <v>Vanelli-Project Go</v>
      </c>
      <c r="E55" s="31"/>
      <c r="F55" s="53" t="str">
        <f t="shared" si="6"/>
        <v>JM</v>
      </c>
      <c r="G55" s="15"/>
      <c r="H55" s="269" t="str">
        <f t="shared" si="7"/>
        <v>1085571</v>
      </c>
      <c r="I55" s="269"/>
      <c r="J55" s="270"/>
      <c r="K55" s="270"/>
      <c r="L55" s="270"/>
      <c r="M55" s="270"/>
      <c r="N55" s="270"/>
      <c r="O55" s="270"/>
      <c r="P55" s="23"/>
    </row>
    <row r="56" spans="1:16" ht="15" customHeight="1">
      <c r="A56" s="13">
        <v>46</v>
      </c>
      <c r="B56" s="39" t="str">
        <f t="shared" si="4"/>
        <v>Paul Mason</v>
      </c>
      <c r="C56" s="40"/>
      <c r="D56" s="52" t="str">
        <f t="shared" si="5"/>
        <v>Royal Navy Cycling</v>
      </c>
      <c r="E56" s="31"/>
      <c r="F56" s="53" t="str">
        <f t="shared" si="6"/>
        <v>V</v>
      </c>
      <c r="G56" s="15"/>
      <c r="H56" s="269" t="str">
        <f t="shared" si="7"/>
        <v>1821975</v>
      </c>
      <c r="I56" s="269"/>
      <c r="J56" s="270"/>
      <c r="K56" s="270"/>
      <c r="L56" s="270"/>
      <c r="M56" s="270"/>
      <c r="N56" s="270"/>
      <c r="O56" s="270"/>
      <c r="P56" s="23"/>
    </row>
    <row r="57" spans="1:16" ht="15" customHeight="1">
      <c r="A57" s="48">
        <v>47</v>
      </c>
      <c r="B57" s="39" t="str">
        <f t="shared" si="4"/>
        <v>Douglas Macdonald</v>
      </c>
      <c r="C57" s="40"/>
      <c r="D57" s="52" t="str">
        <f t="shared" si="5"/>
        <v>Fullarton Wheelers Cycling Club</v>
      </c>
      <c r="E57" s="31"/>
      <c r="F57" s="53" t="str">
        <f t="shared" si="6"/>
        <v>V</v>
      </c>
      <c r="G57" s="15"/>
      <c r="H57" s="269" t="str">
        <f t="shared" si="7"/>
        <v>430399</v>
      </c>
      <c r="I57" s="269"/>
      <c r="J57" s="270"/>
      <c r="K57" s="270"/>
      <c r="L57" s="270"/>
      <c r="M57" s="270"/>
      <c r="N57" s="270"/>
      <c r="O57" s="270"/>
      <c r="P57" s="23"/>
    </row>
    <row r="58" spans="1:16" ht="15" customHeight="1">
      <c r="A58" s="13">
        <v>48</v>
      </c>
      <c r="B58" s="39" t="str">
        <f t="shared" si="4"/>
        <v>Eric Davidson</v>
      </c>
      <c r="C58" s="40"/>
      <c r="D58" s="52" t="str">
        <f t="shared" si="5"/>
        <v>Moray Firth Cycling Club</v>
      </c>
      <c r="E58" s="31"/>
      <c r="F58" s="53" t="str">
        <f t="shared" si="6"/>
        <v>V</v>
      </c>
      <c r="G58" s="15"/>
      <c r="H58" s="269" t="str">
        <f t="shared" si="7"/>
        <v>833828</v>
      </c>
      <c r="I58" s="269"/>
      <c r="J58" s="270"/>
      <c r="K58" s="270"/>
      <c r="L58" s="270"/>
      <c r="M58" s="270"/>
      <c r="N58" s="270"/>
      <c r="O58" s="270"/>
      <c r="P58" s="23"/>
    </row>
    <row r="59" spans="1:16" ht="15" customHeight="1">
      <c r="A59" s="48">
        <v>49</v>
      </c>
      <c r="B59" s="39" t="str">
        <f t="shared" si="4"/>
        <v>Hector Nicolson</v>
      </c>
      <c r="C59" s="40"/>
      <c r="D59" s="52" t="str">
        <f t="shared" si="5"/>
        <v>Moray Firth Cycling Club</v>
      </c>
      <c r="E59" s="31"/>
      <c r="F59" s="53" t="str">
        <f t="shared" si="6"/>
        <v>V</v>
      </c>
      <c r="G59" s="15"/>
      <c r="H59" s="269" t="str">
        <f t="shared" si="7"/>
        <v>703907</v>
      </c>
      <c r="I59" s="269"/>
      <c r="J59" s="270"/>
      <c r="K59" s="270"/>
      <c r="L59" s="270"/>
      <c r="M59" s="270"/>
      <c r="N59" s="270"/>
      <c r="O59" s="270"/>
      <c r="P59" s="23"/>
    </row>
    <row r="60" spans="1:16" ht="15" customHeight="1">
      <c r="A60" s="13">
        <v>50</v>
      </c>
      <c r="B60" s="39" t="str">
        <f t="shared" si="4"/>
        <v>Garry Greenaway</v>
      </c>
      <c r="C60" s="40"/>
      <c r="D60" s="52" t="str">
        <f t="shared" si="5"/>
        <v>Vanelli-Project Go</v>
      </c>
      <c r="E60" s="31"/>
      <c r="F60" s="53" t="str">
        <f t="shared" si="6"/>
        <v>V</v>
      </c>
      <c r="G60" s="15"/>
      <c r="H60" s="269" t="str">
        <f t="shared" si="7"/>
        <v>1554243</v>
      </c>
      <c r="I60" s="269"/>
      <c r="J60" s="270"/>
      <c r="K60" s="270"/>
      <c r="L60" s="270"/>
      <c r="M60" s="270"/>
      <c r="N60" s="270"/>
      <c r="O60" s="270"/>
      <c r="P60" s="23"/>
    </row>
    <row r="61" spans="1:16" ht="15" customHeight="1">
      <c r="A61" s="48">
        <v>51</v>
      </c>
      <c r="B61" s="39" t="str">
        <f t="shared" si="4"/>
        <v>Paul Parrish</v>
      </c>
      <c r="C61" s="40"/>
      <c r="D61" s="52" t="str">
        <f t="shared" si="5"/>
        <v>Cairngorm CC</v>
      </c>
      <c r="E61" s="31"/>
      <c r="F61" s="53" t="str">
        <f t="shared" si="6"/>
        <v>V</v>
      </c>
      <c r="G61" s="14"/>
      <c r="H61" s="269" t="str">
        <f t="shared" si="7"/>
        <v>966611</v>
      </c>
      <c r="I61" s="269"/>
      <c r="J61" s="270"/>
      <c r="K61" s="270"/>
      <c r="L61" s="270"/>
      <c r="M61" s="270"/>
      <c r="N61" s="270"/>
      <c r="O61" s="270"/>
      <c r="P61" s="23"/>
    </row>
    <row r="62" spans="1:16" ht="15" customHeight="1">
      <c r="A62" s="13">
        <v>52</v>
      </c>
      <c r="B62" s="39" t="str">
        <f t="shared" si="4"/>
        <v>Bruce Paterson</v>
      </c>
      <c r="C62" s="40"/>
      <c r="D62" s="52" t="str">
        <f t="shared" si="5"/>
        <v>Moray Firth Cycling Club</v>
      </c>
      <c r="E62" s="31"/>
      <c r="F62" s="53" t="str">
        <f t="shared" si="6"/>
        <v>S</v>
      </c>
      <c r="G62" s="14"/>
      <c r="H62" s="269" t="str">
        <f t="shared" si="7"/>
        <v>1824581</v>
      </c>
      <c r="I62" s="269"/>
      <c r="J62" s="270"/>
      <c r="K62" s="270"/>
      <c r="L62" s="270"/>
      <c r="M62" s="270"/>
      <c r="N62" s="270"/>
      <c r="O62" s="270"/>
      <c r="P62" s="23"/>
    </row>
    <row r="63" spans="1:16" ht="15" customHeight="1">
      <c r="A63" s="48">
        <v>53</v>
      </c>
      <c r="B63" s="39" t="str">
        <f t="shared" si="4"/>
        <v>Tyler Clare</v>
      </c>
      <c r="C63" s="40"/>
      <c r="D63" s="52" t="str">
        <f t="shared" si="5"/>
        <v>Torvelo Racing</v>
      </c>
      <c r="E63" s="31"/>
      <c r="F63" s="53" t="str">
        <f t="shared" si="6"/>
        <v>S</v>
      </c>
      <c r="G63" s="15"/>
      <c r="H63" s="269" t="str">
        <f t="shared" si="7"/>
        <v>1705577</v>
      </c>
      <c r="I63" s="269"/>
      <c r="J63" s="270"/>
      <c r="K63" s="270"/>
      <c r="L63" s="270"/>
      <c r="M63" s="270"/>
      <c r="N63" s="270"/>
      <c r="O63" s="270"/>
      <c r="P63" s="23"/>
    </row>
    <row r="64" spans="1:16" ht="15" customHeight="1">
      <c r="A64" s="13">
        <v>54</v>
      </c>
      <c r="B64" s="39" t="str">
        <f t="shared" si="4"/>
        <v>Callum Deboys</v>
      </c>
      <c r="C64" s="40"/>
      <c r="D64" s="52" t="str">
        <f t="shared" si="5"/>
        <v>GTR - Return To Life</v>
      </c>
      <c r="E64" s="31"/>
      <c r="F64" s="53" t="str">
        <f t="shared" si="6"/>
        <v>S</v>
      </c>
      <c r="G64" s="15"/>
      <c r="H64" s="269" t="str">
        <f t="shared" si="7"/>
        <v>1774761</v>
      </c>
      <c r="I64" s="269"/>
      <c r="J64" s="270"/>
      <c r="K64" s="270"/>
      <c r="L64" s="270"/>
      <c r="M64" s="270"/>
      <c r="N64" s="270"/>
      <c r="O64" s="270"/>
      <c r="P64" s="23"/>
    </row>
    <row r="65" spans="1:16" ht="15" customHeight="1">
      <c r="A65" s="48">
        <v>55</v>
      </c>
      <c r="B65" s="39" t="str">
        <f t="shared" si="4"/>
        <v>Chris Petrie</v>
      </c>
      <c r="C65" s="40"/>
      <c r="D65" s="52" t="str">
        <f t="shared" si="5"/>
        <v>Aberdeen Wheelers Cycling Club</v>
      </c>
      <c r="E65" s="31"/>
      <c r="F65" s="53" t="str">
        <f t="shared" si="6"/>
        <v>V</v>
      </c>
      <c r="G65" s="14"/>
      <c r="H65" s="269" t="str">
        <f t="shared" si="7"/>
        <v>1244492</v>
      </c>
      <c r="I65" s="269"/>
      <c r="J65" s="270"/>
      <c r="K65" s="270"/>
      <c r="L65" s="270"/>
      <c r="M65" s="270"/>
      <c r="N65" s="270"/>
      <c r="O65" s="270"/>
      <c r="P65" s="23"/>
    </row>
    <row r="66" spans="1:16" ht="15" customHeight="1">
      <c r="A66" s="13">
        <v>56</v>
      </c>
      <c r="B66" s="39" t="str">
        <f t="shared" si="4"/>
        <v>Alasdair Washington</v>
      </c>
      <c r="C66" s="40"/>
      <c r="D66" s="52" t="str">
        <f t="shared" si="5"/>
        <v>Caithness CC</v>
      </c>
      <c r="E66" s="31"/>
      <c r="F66" s="53" t="str">
        <f t="shared" si="6"/>
        <v>V</v>
      </c>
      <c r="G66" s="15"/>
      <c r="H66" s="269" t="str">
        <f t="shared" si="7"/>
        <v>202161</v>
      </c>
      <c r="I66" s="269"/>
      <c r="J66" s="270"/>
      <c r="K66" s="270"/>
      <c r="L66" s="270"/>
      <c r="M66" s="270"/>
      <c r="N66" s="270"/>
      <c r="O66" s="270"/>
      <c r="P66" s="23"/>
    </row>
    <row r="67" spans="1:16" ht="15" customHeight="1">
      <c r="A67" s="48">
        <v>57</v>
      </c>
      <c r="B67" s="39" t="str">
        <f t="shared" si="4"/>
        <v>Liam McNamara</v>
      </c>
      <c r="C67" s="40"/>
      <c r="D67" s="52" t="str">
        <f t="shared" si="5"/>
        <v>Elgin CC</v>
      </c>
      <c r="E67" s="31"/>
      <c r="F67" s="53" t="str">
        <f t="shared" si="6"/>
        <v>S</v>
      </c>
      <c r="G67" s="15"/>
      <c r="H67" s="269" t="str">
        <f t="shared" si="7"/>
        <v>1279184</v>
      </c>
      <c r="I67" s="269"/>
      <c r="J67" s="270"/>
      <c r="K67" s="270"/>
      <c r="L67" s="270"/>
      <c r="M67" s="270"/>
      <c r="N67" s="270"/>
      <c r="O67" s="270"/>
      <c r="P67" s="23"/>
    </row>
    <row r="68" spans="1:16" ht="15" customHeight="1">
      <c r="A68" s="13">
        <v>58</v>
      </c>
      <c r="B68" s="39" t="str">
        <f t="shared" si="4"/>
        <v>Colin Duncan</v>
      </c>
      <c r="C68" s="40"/>
      <c r="D68" s="52" t="str">
        <f t="shared" si="5"/>
        <v>Elgin CC</v>
      </c>
      <c r="E68" s="31"/>
      <c r="F68" s="53" t="str">
        <f t="shared" si="6"/>
        <v>V</v>
      </c>
      <c r="G68" s="15"/>
      <c r="H68" s="269" t="str">
        <f t="shared" si="7"/>
        <v>421685</v>
      </c>
      <c r="I68" s="269"/>
      <c r="J68" s="270"/>
      <c r="K68" s="270"/>
      <c r="L68" s="270"/>
      <c r="M68" s="270"/>
      <c r="N68" s="270"/>
      <c r="O68" s="270"/>
      <c r="P68" s="23"/>
    </row>
    <row r="69" spans="1:16" ht="15" customHeight="1">
      <c r="A69" s="48">
        <v>59</v>
      </c>
      <c r="B69" s="39" t="str">
        <f t="shared" si="4"/>
        <v>Alexander Whyte</v>
      </c>
      <c r="C69" s="40"/>
      <c r="D69" s="52" t="str">
        <f t="shared" si="5"/>
        <v>Moray Firth Cycling Club</v>
      </c>
      <c r="E69" s="31"/>
      <c r="F69" s="53" t="str">
        <f t="shared" si="6"/>
        <v>V</v>
      </c>
      <c r="G69" s="15"/>
      <c r="H69" s="269" t="str">
        <f t="shared" si="7"/>
        <v>202680</v>
      </c>
      <c r="I69" s="269"/>
      <c r="J69" s="270"/>
      <c r="K69" s="270"/>
      <c r="L69" s="270"/>
      <c r="M69" s="270"/>
      <c r="N69" s="270"/>
      <c r="O69" s="270"/>
      <c r="P69" s="23"/>
    </row>
    <row r="70" spans="1:16" ht="15" customHeight="1">
      <c r="A70" s="13">
        <v>60</v>
      </c>
      <c r="B70" s="39" t="str">
        <f t="shared" si="4"/>
        <v>Thomas Gelati</v>
      </c>
      <c r="C70" s="40"/>
      <c r="D70" s="52" t="str">
        <f t="shared" si="5"/>
        <v>Handsling Alba Development Road Team</v>
      </c>
      <c r="E70" s="31"/>
      <c r="F70" s="53" t="str">
        <f t="shared" si="6"/>
        <v>S</v>
      </c>
      <c r="G70" s="15"/>
      <c r="H70" s="269" t="str">
        <f t="shared" si="7"/>
        <v>1198488</v>
      </c>
      <c r="I70" s="269"/>
      <c r="J70" s="270"/>
      <c r="K70" s="270"/>
      <c r="L70" s="270"/>
      <c r="M70" s="270"/>
      <c r="N70" s="270"/>
      <c r="O70" s="270"/>
      <c r="P70" s="23"/>
    </row>
    <row r="71" spans="1:16" ht="15" customHeight="1">
      <c r="A71" s="48">
        <v>61</v>
      </c>
      <c r="B71" s="39" t="str">
        <f t="shared" si="4"/>
        <v>Darren Wisniewski</v>
      </c>
      <c r="C71" s="40"/>
      <c r="D71" s="52" t="str">
        <f t="shared" si="5"/>
        <v/>
      </c>
      <c r="E71" s="31"/>
      <c r="F71" s="53" t="str">
        <f t="shared" si="6"/>
        <v>S</v>
      </c>
      <c r="G71" s="15"/>
      <c r="H71" s="269" t="str">
        <f t="shared" si="7"/>
        <v>1863190</v>
      </c>
      <c r="I71" s="269"/>
      <c r="J71" s="270"/>
      <c r="K71" s="270"/>
      <c r="L71" s="270"/>
      <c r="M71" s="270"/>
      <c r="N71" s="270"/>
      <c r="O71" s="270"/>
      <c r="P71" s="23"/>
    </row>
    <row r="72" spans="1:16" ht="15" customHeight="1">
      <c r="A72" s="13">
        <v>62</v>
      </c>
      <c r="B72" s="39" t="str">
        <f t="shared" si="4"/>
        <v>Logan Anderson</v>
      </c>
      <c r="C72" s="40"/>
      <c r="D72" s="52" t="str">
        <f t="shared" si="5"/>
        <v>Moray Firth Cycling Club</v>
      </c>
      <c r="E72" s="31"/>
      <c r="F72" s="53" t="str">
        <f t="shared" si="6"/>
        <v>YM</v>
      </c>
      <c r="G72" s="15"/>
      <c r="H72" s="269" t="str">
        <f t="shared" si="7"/>
        <v>1713042</v>
      </c>
      <c r="I72" s="269"/>
      <c r="J72" s="270"/>
      <c r="K72" s="270"/>
      <c r="L72" s="270"/>
      <c r="M72" s="270"/>
      <c r="N72" s="270"/>
      <c r="O72" s="270"/>
      <c r="P72" s="23"/>
    </row>
    <row r="73" spans="1:16" ht="15" customHeight="1">
      <c r="A73" s="48">
        <v>63</v>
      </c>
      <c r="B73" s="39" t="str">
        <f t="shared" si="4"/>
        <v>Alan McCaffrey</v>
      </c>
      <c r="C73" s="40"/>
      <c r="D73" s="52" t="str">
        <f t="shared" si="5"/>
        <v>Moray Firth Cycling Club</v>
      </c>
      <c r="E73" s="31"/>
      <c r="F73" s="53" t="str">
        <f t="shared" si="6"/>
        <v>V</v>
      </c>
      <c r="G73" s="15"/>
      <c r="H73" s="269" t="str">
        <f t="shared" si="7"/>
        <v>428942</v>
      </c>
      <c r="I73" s="269"/>
      <c r="J73" s="270"/>
      <c r="K73" s="270"/>
      <c r="L73" s="270"/>
      <c r="M73" s="270"/>
      <c r="N73" s="270"/>
      <c r="O73" s="270"/>
      <c r="P73" s="23"/>
    </row>
    <row r="74" spans="1:16" ht="15" customHeight="1">
      <c r="A74" s="13">
        <v>64</v>
      </c>
      <c r="B74" s="39" t="str">
        <f t="shared" si="4"/>
        <v>Michael Maciver</v>
      </c>
      <c r="C74" s="40"/>
      <c r="D74" s="52" t="str">
        <f t="shared" si="5"/>
        <v>Ross-Shire RCC</v>
      </c>
      <c r="E74" s="31"/>
      <c r="F74" s="53" t="str">
        <f t="shared" si="6"/>
        <v>S</v>
      </c>
      <c r="G74" s="15"/>
      <c r="H74" s="269" t="str">
        <f t="shared" si="7"/>
        <v>1053476</v>
      </c>
      <c r="I74" s="269"/>
      <c r="J74" s="270"/>
      <c r="K74" s="270"/>
      <c r="L74" s="270"/>
      <c r="M74" s="270"/>
      <c r="N74" s="270"/>
      <c r="O74" s="270"/>
      <c r="P74" s="23"/>
    </row>
    <row r="75" spans="1:16" ht="15" customHeight="1">
      <c r="A75" s="48">
        <v>65</v>
      </c>
      <c r="B75" s="39" t="str">
        <f t="shared" ref="B75:B106" si="8">IF(IF(ISNA(VLOOKUP(A75,Entrants,4,FALSE)),"",VLOOKUP(A75,Entrants,4,FALSE))="","",IF(ISNA(VLOOKUP(A75,Entrants,4,FALSE)),"",VLOOKUP(A75,Entrants,4,FALSE)))</f>
        <v>Matiss Robertson</v>
      </c>
      <c r="C75" s="40"/>
      <c r="D75" s="52" t="str">
        <f t="shared" ref="D75:D106" si="9">IF(IF(ISNA(VLOOKUP(A75,Entrants,5,FALSE)),"",VLOOKUP(A75,Entrants,5,FALSE))=0,"",IF(ISNA(VLOOKUP(A75,Entrants,5,FALSE)),"",VLOOKUP(A75,Entrants,5,FALSE)))</f>
        <v>RT23</v>
      </c>
      <c r="E75" s="31"/>
      <c r="F75" s="53" t="str">
        <f t="shared" ref="F75:F106" si="10">IF(IF(ISNA(VLOOKUP(A75,Entrants,6,FALSE)),"",VLOOKUP(A75,Entrants,6,FALSE))=0,"",IF(ISNA(VLOOKUP(A75,Entrants,6,FALSE)),"",VLOOKUP(A75,Entrants,6,FALSE)))</f>
        <v>S</v>
      </c>
      <c r="G75" s="15"/>
      <c r="H75" s="269" t="str">
        <f t="shared" ref="H75:H106" si="11">IF(IF(ISNA(VLOOKUP(A75,Entrants,7,FALSE)),"",VLOOKUP(A75,Entrants,7,FALSE))=0,"",IF(ISNA(VLOOKUP(A75,Entrants,7,FALSE)),"",VLOOKUP(A75,Entrants,7,FALSE)))</f>
        <v>1458410</v>
      </c>
      <c r="I75" s="269"/>
      <c r="J75" s="270"/>
      <c r="K75" s="270"/>
      <c r="L75" s="270"/>
      <c r="M75" s="270"/>
      <c r="N75" s="270"/>
      <c r="O75" s="270"/>
      <c r="P75" s="23"/>
    </row>
    <row r="76" spans="1:16" ht="15" customHeight="1">
      <c r="A76" s="13">
        <v>66</v>
      </c>
      <c r="B76" s="39" t="str">
        <f t="shared" si="8"/>
        <v>Scott Davidson</v>
      </c>
      <c r="C76" s="40"/>
      <c r="D76" s="52" t="str">
        <f t="shared" si="9"/>
        <v>Moray Firth Cycling Club</v>
      </c>
      <c r="E76" s="31"/>
      <c r="F76" s="53" t="str">
        <f t="shared" si="10"/>
        <v>S</v>
      </c>
      <c r="G76" s="15"/>
      <c r="H76" s="269" t="str">
        <f t="shared" si="11"/>
        <v>1346317</v>
      </c>
      <c r="I76" s="269"/>
      <c r="J76" s="270"/>
      <c r="K76" s="270"/>
      <c r="L76" s="270"/>
      <c r="M76" s="270"/>
      <c r="N76" s="270"/>
      <c r="O76" s="270"/>
      <c r="P76" s="23"/>
    </row>
    <row r="77" spans="1:16" ht="15" customHeight="1">
      <c r="A77" s="48">
        <v>67</v>
      </c>
      <c r="B77" s="39" t="str">
        <f t="shared" si="8"/>
        <v>William Sutherland</v>
      </c>
      <c r="C77" s="40"/>
      <c r="D77" s="52" t="str">
        <f t="shared" si="9"/>
        <v>Ross-Shire RCC</v>
      </c>
      <c r="E77" s="31"/>
      <c r="F77" s="53" t="str">
        <f t="shared" si="10"/>
        <v>S</v>
      </c>
      <c r="G77" s="15"/>
      <c r="H77" s="269" t="str">
        <f t="shared" si="11"/>
        <v>1713297</v>
      </c>
      <c r="I77" s="269"/>
      <c r="J77" s="270"/>
      <c r="K77" s="270"/>
      <c r="L77" s="270"/>
      <c r="M77" s="270"/>
      <c r="N77" s="270"/>
      <c r="O77" s="270"/>
      <c r="P77" s="23"/>
    </row>
    <row r="78" spans="1:16" ht="15" customHeight="1">
      <c r="A78" s="13">
        <v>68</v>
      </c>
      <c r="B78" s="39" t="str">
        <f t="shared" si="8"/>
        <v>Mark Dryburgh</v>
      </c>
      <c r="C78" s="40"/>
      <c r="D78" s="52" t="str">
        <f t="shared" si="9"/>
        <v>Ross-Shire RCC</v>
      </c>
      <c r="E78" s="31"/>
      <c r="F78" s="53" t="str">
        <f t="shared" si="10"/>
        <v>V</v>
      </c>
      <c r="G78" s="15"/>
      <c r="H78" s="269" t="str">
        <f t="shared" si="11"/>
        <v>968561</v>
      </c>
      <c r="I78" s="269"/>
      <c r="J78" s="270"/>
      <c r="K78" s="270"/>
      <c r="L78" s="270"/>
      <c r="M78" s="270"/>
      <c r="N78" s="270"/>
      <c r="O78" s="270"/>
      <c r="P78" s="23"/>
    </row>
    <row r="79" spans="1:16" ht="15" customHeight="1">
      <c r="A79" s="48">
        <v>69</v>
      </c>
      <c r="B79" s="39" t="str">
        <f t="shared" si="8"/>
        <v>David Hutcheson</v>
      </c>
      <c r="C79" s="40"/>
      <c r="D79" s="52" t="str">
        <f t="shared" si="9"/>
        <v>RT23</v>
      </c>
      <c r="E79" s="31"/>
      <c r="F79" s="53" t="str">
        <f t="shared" si="10"/>
        <v>S</v>
      </c>
      <c r="G79" s="15"/>
      <c r="H79" s="269" t="str">
        <f t="shared" si="11"/>
        <v>1775168</v>
      </c>
      <c r="I79" s="269"/>
      <c r="J79" s="270"/>
      <c r="K79" s="270"/>
      <c r="L79" s="270"/>
      <c r="M79" s="270"/>
      <c r="N79" s="270"/>
      <c r="O79" s="270"/>
      <c r="P79" s="23"/>
    </row>
    <row r="80" spans="1:16" ht="15" customHeight="1">
      <c r="A80" s="13">
        <v>70</v>
      </c>
      <c r="B80" s="39" t="str">
        <f t="shared" si="8"/>
        <v>Christopher Little</v>
      </c>
      <c r="C80" s="40"/>
      <c r="D80" s="52" t="str">
        <f t="shared" si="9"/>
        <v>Studio Velo</v>
      </c>
      <c r="E80" s="31"/>
      <c r="F80" s="53" t="str">
        <f t="shared" si="10"/>
        <v>S</v>
      </c>
      <c r="G80" s="15"/>
      <c r="H80" s="269" t="str">
        <f t="shared" si="11"/>
        <v>1705834</v>
      </c>
      <c r="I80" s="269"/>
      <c r="J80" s="270"/>
      <c r="K80" s="270"/>
      <c r="L80" s="270"/>
      <c r="M80" s="270"/>
      <c r="N80" s="270"/>
      <c r="O80" s="270"/>
      <c r="P80" s="23"/>
    </row>
    <row r="81" spans="1:16" ht="15" customHeight="1">
      <c r="A81" s="48">
        <v>71</v>
      </c>
      <c r="B81" s="39" t="str">
        <f t="shared" si="8"/>
        <v>Kevin Smith</v>
      </c>
      <c r="C81" s="40"/>
      <c r="D81" s="52" t="str">
        <f t="shared" si="9"/>
        <v>Moray Firth Cycling Club</v>
      </c>
      <c r="E81" s="31"/>
      <c r="F81" s="53" t="str">
        <f t="shared" si="10"/>
        <v>V</v>
      </c>
      <c r="G81" s="15"/>
      <c r="H81" s="269" t="str">
        <f t="shared" si="11"/>
        <v>1253030</v>
      </c>
      <c r="I81" s="269"/>
      <c r="J81" s="270"/>
      <c r="K81" s="270"/>
      <c r="L81" s="270"/>
      <c r="M81" s="270"/>
      <c r="N81" s="270"/>
      <c r="O81" s="270"/>
      <c r="P81" s="23"/>
    </row>
    <row r="82" spans="1:16" ht="15" customHeight="1">
      <c r="A82" s="13">
        <v>72</v>
      </c>
      <c r="B82" s="39" t="str">
        <f t="shared" si="8"/>
        <v>Dean Cunningham</v>
      </c>
      <c r="C82" s="40"/>
      <c r="D82" s="52" t="str">
        <f t="shared" si="9"/>
        <v>Torvelo Racing</v>
      </c>
      <c r="E82" s="31"/>
      <c r="F82" s="53" t="str">
        <f t="shared" si="10"/>
        <v>S</v>
      </c>
      <c r="G82" s="15"/>
      <c r="H82" s="269" t="str">
        <f t="shared" si="11"/>
        <v>1175717</v>
      </c>
      <c r="I82" s="269"/>
      <c r="J82" s="270"/>
      <c r="K82" s="270"/>
      <c r="L82" s="270"/>
      <c r="M82" s="270"/>
      <c r="N82" s="270"/>
      <c r="O82" s="270"/>
      <c r="P82" s="23"/>
    </row>
    <row r="83" spans="1:16" ht="15" customHeight="1">
      <c r="A83" s="48">
        <v>73</v>
      </c>
      <c r="B83" s="39" t="str">
        <f t="shared" si="8"/>
        <v>Oliver Pemberton</v>
      </c>
      <c r="C83" s="40"/>
      <c r="D83" s="52" t="str">
        <f t="shared" si="9"/>
        <v>Vanelli-Project Go</v>
      </c>
      <c r="E83" s="31"/>
      <c r="F83" s="53" t="str">
        <f t="shared" si="10"/>
        <v>S</v>
      </c>
      <c r="G83" s="15"/>
      <c r="H83" s="269" t="str">
        <f t="shared" si="11"/>
        <v>1826973</v>
      </c>
      <c r="I83" s="269"/>
      <c r="J83" s="270"/>
      <c r="K83" s="270"/>
      <c r="L83" s="270"/>
      <c r="M83" s="270"/>
      <c r="N83" s="270"/>
      <c r="O83" s="270"/>
      <c r="P83" s="23"/>
    </row>
    <row r="84" spans="1:16" ht="15" customHeight="1">
      <c r="A84" s="13">
        <v>74</v>
      </c>
      <c r="B84" s="39" t="str">
        <f t="shared" si="8"/>
        <v>Norman Skene</v>
      </c>
      <c r="C84" s="40"/>
      <c r="D84" s="52" t="str">
        <f t="shared" si="9"/>
        <v>Velocity 44 RT</v>
      </c>
      <c r="E84" s="31"/>
      <c r="F84" s="53" t="str">
        <f t="shared" si="10"/>
        <v>V</v>
      </c>
      <c r="G84" s="15"/>
      <c r="H84" s="269" t="str">
        <f t="shared" si="11"/>
        <v>202406</v>
      </c>
      <c r="I84" s="269"/>
      <c r="J84" s="270"/>
      <c r="K84" s="270"/>
      <c r="L84" s="270"/>
      <c r="M84" s="270"/>
      <c r="N84" s="270"/>
      <c r="O84" s="270"/>
      <c r="P84" s="23"/>
    </row>
    <row r="85" spans="1:16" ht="15" customHeight="1">
      <c r="A85" s="48">
        <v>75</v>
      </c>
      <c r="B85" s="39" t="str">
        <f t="shared" si="8"/>
        <v>Graham Hollinger</v>
      </c>
      <c r="C85" s="40"/>
      <c r="D85" s="52" t="str">
        <f t="shared" si="9"/>
        <v>Torvelo Racing</v>
      </c>
      <c r="E85" s="31"/>
      <c r="F85" s="53" t="str">
        <f t="shared" si="10"/>
        <v>S</v>
      </c>
      <c r="G85" s="15"/>
      <c r="H85" s="269" t="str">
        <f t="shared" si="11"/>
        <v>1673941</v>
      </c>
      <c r="I85" s="269"/>
      <c r="J85" s="270"/>
      <c r="K85" s="270"/>
      <c r="L85" s="270"/>
      <c r="M85" s="270"/>
      <c r="N85" s="270"/>
      <c r="O85" s="270"/>
      <c r="P85" s="23"/>
    </row>
    <row r="86" spans="1:16" ht="15" customHeight="1">
      <c r="A86" s="13">
        <v>76</v>
      </c>
      <c r="B86" s="39" t="str">
        <f t="shared" si="8"/>
        <v/>
      </c>
      <c r="C86" s="40"/>
      <c r="D86" s="52" t="str">
        <f t="shared" si="9"/>
        <v/>
      </c>
      <c r="E86" s="31"/>
      <c r="F86" s="53" t="str">
        <f t="shared" si="10"/>
        <v/>
      </c>
      <c r="G86" s="14"/>
      <c r="H86" s="269" t="str">
        <f t="shared" si="11"/>
        <v/>
      </c>
      <c r="I86" s="269"/>
      <c r="J86" s="270"/>
      <c r="K86" s="270"/>
      <c r="L86" s="270"/>
      <c r="M86" s="270"/>
      <c r="N86" s="270"/>
      <c r="O86" s="270"/>
      <c r="P86" s="23"/>
    </row>
    <row r="87" spans="1:16" ht="15" customHeight="1">
      <c r="A87" s="48">
        <v>77</v>
      </c>
      <c r="B87" s="39" t="str">
        <f t="shared" si="8"/>
        <v/>
      </c>
      <c r="C87" s="40"/>
      <c r="D87" s="52" t="str">
        <f t="shared" si="9"/>
        <v/>
      </c>
      <c r="E87" s="31"/>
      <c r="F87" s="53" t="str">
        <f t="shared" si="10"/>
        <v/>
      </c>
      <c r="G87" s="14"/>
      <c r="H87" s="269" t="str">
        <f t="shared" si="11"/>
        <v/>
      </c>
      <c r="I87" s="269"/>
      <c r="J87" s="270"/>
      <c r="K87" s="270"/>
      <c r="L87" s="270"/>
      <c r="M87" s="270"/>
      <c r="N87" s="270"/>
      <c r="O87" s="270"/>
      <c r="P87" s="23"/>
    </row>
    <row r="88" spans="1:16" ht="15" customHeight="1">
      <c r="A88" s="13">
        <v>78</v>
      </c>
      <c r="B88" s="39" t="str">
        <f t="shared" si="8"/>
        <v/>
      </c>
      <c r="C88" s="40"/>
      <c r="D88" s="52" t="str">
        <f t="shared" si="9"/>
        <v/>
      </c>
      <c r="E88" s="31"/>
      <c r="F88" s="53" t="str">
        <f t="shared" si="10"/>
        <v/>
      </c>
      <c r="G88" s="15"/>
      <c r="H88" s="269" t="str">
        <f t="shared" si="11"/>
        <v/>
      </c>
      <c r="I88" s="269"/>
      <c r="J88" s="270"/>
      <c r="K88" s="270"/>
      <c r="L88" s="270"/>
      <c r="M88" s="270"/>
      <c r="N88" s="270"/>
      <c r="O88" s="270"/>
      <c r="P88" s="23"/>
    </row>
    <row r="89" spans="1:16" ht="15" customHeight="1">
      <c r="A89" s="48">
        <v>79</v>
      </c>
      <c r="B89" s="39" t="str">
        <f t="shared" si="8"/>
        <v/>
      </c>
      <c r="C89" s="40"/>
      <c r="D89" s="52" t="str">
        <f t="shared" si="9"/>
        <v/>
      </c>
      <c r="E89" s="31"/>
      <c r="F89" s="53" t="str">
        <f t="shared" si="10"/>
        <v/>
      </c>
      <c r="G89" s="15"/>
      <c r="H89" s="269" t="str">
        <f t="shared" si="11"/>
        <v/>
      </c>
      <c r="I89" s="269"/>
      <c r="J89" s="270"/>
      <c r="K89" s="270"/>
      <c r="L89" s="270"/>
      <c r="M89" s="270"/>
      <c r="N89" s="270"/>
      <c r="O89" s="270"/>
      <c r="P89" s="23"/>
    </row>
    <row r="90" spans="1:16" ht="15" customHeight="1">
      <c r="A90" s="13">
        <v>80</v>
      </c>
      <c r="B90" s="39" t="str">
        <f t="shared" si="8"/>
        <v/>
      </c>
      <c r="C90" s="40"/>
      <c r="D90" s="52" t="str">
        <f t="shared" si="9"/>
        <v/>
      </c>
      <c r="E90" s="31"/>
      <c r="F90" s="53" t="str">
        <f t="shared" si="10"/>
        <v/>
      </c>
      <c r="G90" s="14"/>
      <c r="H90" s="269" t="str">
        <f t="shared" si="11"/>
        <v/>
      </c>
      <c r="I90" s="269"/>
      <c r="J90" s="270"/>
      <c r="K90" s="270"/>
      <c r="L90" s="270"/>
      <c r="M90" s="270"/>
      <c r="N90" s="270"/>
      <c r="O90" s="270"/>
      <c r="P90" s="23"/>
    </row>
    <row r="91" spans="1:16" ht="15" customHeight="1">
      <c r="A91" s="48">
        <v>81</v>
      </c>
      <c r="B91" s="39" t="str">
        <f t="shared" si="8"/>
        <v/>
      </c>
      <c r="C91" s="40"/>
      <c r="D91" s="52" t="str">
        <f t="shared" si="9"/>
        <v/>
      </c>
      <c r="E91" s="31"/>
      <c r="F91" s="53" t="str">
        <f t="shared" si="10"/>
        <v/>
      </c>
      <c r="G91" s="15"/>
      <c r="H91" s="269" t="str">
        <f t="shared" si="11"/>
        <v/>
      </c>
      <c r="I91" s="269"/>
      <c r="J91" s="270"/>
      <c r="K91" s="270"/>
      <c r="L91" s="270"/>
      <c r="M91" s="270"/>
      <c r="N91" s="270"/>
      <c r="O91" s="270"/>
      <c r="P91" s="23"/>
    </row>
    <row r="92" spans="1:16" ht="15" customHeight="1">
      <c r="A92" s="13">
        <v>82</v>
      </c>
      <c r="B92" s="39" t="str">
        <f t="shared" si="8"/>
        <v/>
      </c>
      <c r="C92" s="40"/>
      <c r="D92" s="52" t="str">
        <f t="shared" si="9"/>
        <v/>
      </c>
      <c r="E92" s="31"/>
      <c r="F92" s="53" t="str">
        <f t="shared" si="10"/>
        <v/>
      </c>
      <c r="G92" s="15"/>
      <c r="H92" s="269" t="str">
        <f t="shared" si="11"/>
        <v/>
      </c>
      <c r="I92" s="269"/>
      <c r="J92" s="270"/>
      <c r="K92" s="270"/>
      <c r="L92" s="270"/>
      <c r="M92" s="270"/>
      <c r="N92" s="270"/>
      <c r="O92" s="270"/>
      <c r="P92" s="23"/>
    </row>
    <row r="93" spans="1:16" ht="15" customHeight="1">
      <c r="A93" s="48">
        <v>83</v>
      </c>
      <c r="B93" s="39" t="str">
        <f t="shared" si="8"/>
        <v/>
      </c>
      <c r="C93" s="40"/>
      <c r="D93" s="52" t="str">
        <f t="shared" si="9"/>
        <v/>
      </c>
      <c r="E93" s="31"/>
      <c r="F93" s="53" t="str">
        <f t="shared" si="10"/>
        <v/>
      </c>
      <c r="G93" s="15"/>
      <c r="H93" s="269" t="str">
        <f t="shared" si="11"/>
        <v/>
      </c>
      <c r="I93" s="269"/>
      <c r="J93" s="270"/>
      <c r="K93" s="270"/>
      <c r="L93" s="270"/>
      <c r="M93" s="270"/>
      <c r="N93" s="270"/>
      <c r="O93" s="270"/>
      <c r="P93" s="23"/>
    </row>
    <row r="94" spans="1:16" ht="15" customHeight="1">
      <c r="A94" s="13">
        <v>84</v>
      </c>
      <c r="B94" s="39" t="str">
        <f t="shared" si="8"/>
        <v/>
      </c>
      <c r="C94" s="40"/>
      <c r="D94" s="52" t="str">
        <f t="shared" si="9"/>
        <v/>
      </c>
      <c r="E94" s="31"/>
      <c r="F94" s="53" t="str">
        <f t="shared" si="10"/>
        <v/>
      </c>
      <c r="G94" s="15"/>
      <c r="H94" s="269" t="str">
        <f t="shared" si="11"/>
        <v/>
      </c>
      <c r="I94" s="269"/>
      <c r="J94" s="270"/>
      <c r="K94" s="270"/>
      <c r="L94" s="270"/>
      <c r="M94" s="270"/>
      <c r="N94" s="270"/>
      <c r="O94" s="270"/>
      <c r="P94" s="23"/>
    </row>
    <row r="95" spans="1:16" ht="15" customHeight="1">
      <c r="A95" s="48">
        <v>85</v>
      </c>
      <c r="B95" s="39" t="str">
        <f t="shared" si="8"/>
        <v/>
      </c>
      <c r="C95" s="40"/>
      <c r="D95" s="52" t="str">
        <f t="shared" si="9"/>
        <v/>
      </c>
      <c r="E95" s="31"/>
      <c r="F95" s="53" t="str">
        <f t="shared" si="10"/>
        <v/>
      </c>
      <c r="G95" s="15"/>
      <c r="H95" s="269" t="str">
        <f t="shared" si="11"/>
        <v/>
      </c>
      <c r="I95" s="269"/>
      <c r="J95" s="270"/>
      <c r="K95" s="270"/>
      <c r="L95" s="270"/>
      <c r="M95" s="270"/>
      <c r="N95" s="270"/>
      <c r="O95" s="270"/>
      <c r="P95" s="23"/>
    </row>
    <row r="96" spans="1:16" ht="15" customHeight="1">
      <c r="A96" s="13">
        <v>86</v>
      </c>
      <c r="B96" s="39" t="str">
        <f t="shared" si="8"/>
        <v/>
      </c>
      <c r="C96" s="40"/>
      <c r="D96" s="52" t="str">
        <f t="shared" si="9"/>
        <v/>
      </c>
      <c r="E96" s="31"/>
      <c r="F96" s="53" t="str">
        <f t="shared" si="10"/>
        <v/>
      </c>
      <c r="G96" s="15"/>
      <c r="H96" s="269" t="str">
        <f t="shared" si="11"/>
        <v/>
      </c>
      <c r="I96" s="269"/>
      <c r="J96" s="270"/>
      <c r="K96" s="270"/>
      <c r="L96" s="270"/>
      <c r="M96" s="270"/>
      <c r="N96" s="270"/>
      <c r="O96" s="270"/>
      <c r="P96" s="23"/>
    </row>
    <row r="97" spans="1:16" ht="15" customHeight="1">
      <c r="A97" s="48">
        <v>87</v>
      </c>
      <c r="B97" s="39" t="str">
        <f t="shared" si="8"/>
        <v/>
      </c>
      <c r="C97" s="40"/>
      <c r="D97" s="52" t="str">
        <f t="shared" si="9"/>
        <v/>
      </c>
      <c r="E97" s="31"/>
      <c r="F97" s="53" t="str">
        <f t="shared" si="10"/>
        <v/>
      </c>
      <c r="G97" s="15"/>
      <c r="H97" s="269" t="str">
        <f t="shared" si="11"/>
        <v/>
      </c>
      <c r="I97" s="269"/>
      <c r="J97" s="270"/>
      <c r="K97" s="270"/>
      <c r="L97" s="270"/>
      <c r="M97" s="270"/>
      <c r="N97" s="270"/>
      <c r="O97" s="270"/>
      <c r="P97" s="23"/>
    </row>
    <row r="98" spans="1:16" ht="15" customHeight="1">
      <c r="A98" s="13">
        <v>88</v>
      </c>
      <c r="B98" s="39" t="str">
        <f t="shared" si="8"/>
        <v/>
      </c>
      <c r="C98" s="40"/>
      <c r="D98" s="52" t="str">
        <f t="shared" si="9"/>
        <v/>
      </c>
      <c r="E98" s="31"/>
      <c r="F98" s="53" t="str">
        <f t="shared" si="10"/>
        <v/>
      </c>
      <c r="G98" s="15"/>
      <c r="H98" s="269" t="str">
        <f t="shared" si="11"/>
        <v/>
      </c>
      <c r="I98" s="269"/>
      <c r="J98" s="270"/>
      <c r="K98" s="270"/>
      <c r="L98" s="270"/>
      <c r="M98" s="270"/>
      <c r="N98" s="270"/>
      <c r="O98" s="270"/>
      <c r="P98" s="23"/>
    </row>
    <row r="99" spans="1:16" ht="15" customHeight="1">
      <c r="A99" s="48">
        <v>89</v>
      </c>
      <c r="B99" s="39" t="str">
        <f t="shared" si="8"/>
        <v/>
      </c>
      <c r="C99" s="40"/>
      <c r="D99" s="52" t="str">
        <f t="shared" si="9"/>
        <v/>
      </c>
      <c r="E99" s="31"/>
      <c r="F99" s="53" t="str">
        <f t="shared" si="10"/>
        <v/>
      </c>
      <c r="G99" s="15"/>
      <c r="H99" s="269" t="str">
        <f t="shared" si="11"/>
        <v/>
      </c>
      <c r="I99" s="269"/>
      <c r="J99" s="270"/>
      <c r="K99" s="270"/>
      <c r="L99" s="270"/>
      <c r="M99" s="270"/>
      <c r="N99" s="270"/>
      <c r="O99" s="270"/>
      <c r="P99" s="23"/>
    </row>
    <row r="100" spans="1:16" ht="15" customHeight="1">
      <c r="A100" s="13">
        <v>90</v>
      </c>
      <c r="B100" s="39" t="str">
        <f t="shared" si="8"/>
        <v/>
      </c>
      <c r="C100" s="40"/>
      <c r="D100" s="52" t="str">
        <f t="shared" si="9"/>
        <v/>
      </c>
      <c r="E100" s="31"/>
      <c r="F100" s="53" t="str">
        <f t="shared" si="10"/>
        <v/>
      </c>
      <c r="G100" s="15"/>
      <c r="H100" s="269" t="str">
        <f t="shared" si="11"/>
        <v/>
      </c>
      <c r="I100" s="269"/>
      <c r="J100" s="270"/>
      <c r="K100" s="270"/>
      <c r="L100" s="270"/>
      <c r="M100" s="270"/>
      <c r="N100" s="270"/>
      <c r="O100" s="270"/>
      <c r="P100" s="23"/>
    </row>
    <row r="101" spans="1:16" ht="15" customHeight="1">
      <c r="A101" s="48">
        <v>91</v>
      </c>
      <c r="B101" s="39" t="str">
        <f t="shared" si="8"/>
        <v/>
      </c>
      <c r="C101" s="40"/>
      <c r="D101" s="52" t="str">
        <f t="shared" si="9"/>
        <v/>
      </c>
      <c r="E101" s="31"/>
      <c r="F101" s="53" t="str">
        <f t="shared" si="10"/>
        <v/>
      </c>
      <c r="G101" s="15"/>
      <c r="H101" s="269" t="str">
        <f t="shared" si="11"/>
        <v/>
      </c>
      <c r="I101" s="269"/>
      <c r="J101" s="270"/>
      <c r="K101" s="270"/>
      <c r="L101" s="270"/>
      <c r="M101" s="270"/>
      <c r="N101" s="270"/>
      <c r="O101" s="270"/>
      <c r="P101" s="23"/>
    </row>
    <row r="102" spans="1:16" ht="15" customHeight="1">
      <c r="A102" s="13">
        <v>92</v>
      </c>
      <c r="B102" s="39" t="str">
        <f t="shared" si="8"/>
        <v/>
      </c>
      <c r="C102" s="40"/>
      <c r="D102" s="52" t="str">
        <f t="shared" si="9"/>
        <v/>
      </c>
      <c r="E102" s="31"/>
      <c r="F102" s="53" t="str">
        <f t="shared" si="10"/>
        <v/>
      </c>
      <c r="G102" s="15"/>
      <c r="H102" s="269" t="str">
        <f t="shared" si="11"/>
        <v/>
      </c>
      <c r="I102" s="269"/>
      <c r="J102" s="270"/>
      <c r="K102" s="270"/>
      <c r="L102" s="270"/>
      <c r="M102" s="270"/>
      <c r="N102" s="270"/>
      <c r="O102" s="270"/>
      <c r="P102" s="23"/>
    </row>
    <row r="103" spans="1:16" ht="15" customHeight="1">
      <c r="A103" s="48">
        <v>93</v>
      </c>
      <c r="B103" s="39" t="str">
        <f t="shared" si="8"/>
        <v/>
      </c>
      <c r="C103" s="40"/>
      <c r="D103" s="52" t="str">
        <f t="shared" si="9"/>
        <v/>
      </c>
      <c r="E103" s="31"/>
      <c r="F103" s="53" t="str">
        <f t="shared" si="10"/>
        <v/>
      </c>
      <c r="G103" s="15"/>
      <c r="H103" s="269" t="str">
        <f t="shared" si="11"/>
        <v/>
      </c>
      <c r="I103" s="269"/>
      <c r="J103" s="270"/>
      <c r="K103" s="270"/>
      <c r="L103" s="270"/>
      <c r="M103" s="270"/>
      <c r="N103" s="270"/>
      <c r="O103" s="270"/>
      <c r="P103" s="23"/>
    </row>
    <row r="104" spans="1:16" ht="15" customHeight="1">
      <c r="A104" s="13">
        <v>94</v>
      </c>
      <c r="B104" s="39" t="str">
        <f t="shared" si="8"/>
        <v/>
      </c>
      <c r="C104" s="40"/>
      <c r="D104" s="52" t="str">
        <f t="shared" si="9"/>
        <v/>
      </c>
      <c r="E104" s="31"/>
      <c r="F104" s="53" t="str">
        <f t="shared" si="10"/>
        <v/>
      </c>
      <c r="G104" s="15"/>
      <c r="H104" s="269" t="str">
        <f t="shared" si="11"/>
        <v/>
      </c>
      <c r="I104" s="269"/>
      <c r="J104" s="270"/>
      <c r="K104" s="270"/>
      <c r="L104" s="270"/>
      <c r="M104" s="270"/>
      <c r="N104" s="270"/>
      <c r="O104" s="270"/>
      <c r="P104" s="23"/>
    </row>
    <row r="105" spans="1:16" ht="15" customHeight="1">
      <c r="A105" s="48">
        <v>95</v>
      </c>
      <c r="B105" s="39" t="str">
        <f t="shared" si="8"/>
        <v/>
      </c>
      <c r="C105" s="40"/>
      <c r="D105" s="52" t="str">
        <f t="shared" si="9"/>
        <v/>
      </c>
      <c r="E105" s="31"/>
      <c r="F105" s="53" t="str">
        <f t="shared" si="10"/>
        <v/>
      </c>
      <c r="G105" s="15"/>
      <c r="H105" s="269" t="str">
        <f t="shared" si="11"/>
        <v/>
      </c>
      <c r="I105" s="269"/>
      <c r="J105" s="270"/>
      <c r="K105" s="270"/>
      <c r="L105" s="270"/>
      <c r="M105" s="270"/>
      <c r="N105" s="270"/>
      <c r="O105" s="270"/>
      <c r="P105" s="23"/>
    </row>
    <row r="106" spans="1:16" ht="15" customHeight="1">
      <c r="A106" s="13">
        <v>96</v>
      </c>
      <c r="B106" s="39" t="str">
        <f t="shared" si="8"/>
        <v/>
      </c>
      <c r="C106" s="40"/>
      <c r="D106" s="52" t="str">
        <f t="shared" si="9"/>
        <v/>
      </c>
      <c r="E106" s="31"/>
      <c r="F106" s="53" t="str">
        <f t="shared" si="10"/>
        <v/>
      </c>
      <c r="G106" s="15"/>
      <c r="H106" s="269" t="str">
        <f t="shared" si="11"/>
        <v/>
      </c>
      <c r="I106" s="269"/>
      <c r="J106" s="270"/>
      <c r="K106" s="270"/>
      <c r="L106" s="270"/>
      <c r="M106" s="270"/>
      <c r="N106" s="270"/>
      <c r="O106" s="270"/>
      <c r="P106" s="23"/>
    </row>
    <row r="107" spans="1:16" ht="15" customHeight="1">
      <c r="A107" s="48">
        <v>97</v>
      </c>
      <c r="B107" s="39" t="str">
        <f t="shared" ref="B107:B138" si="12">IF(IF(ISNA(VLOOKUP(A107,Entrants,4,FALSE)),"",VLOOKUP(A107,Entrants,4,FALSE))="","",IF(ISNA(VLOOKUP(A107,Entrants,4,FALSE)),"",VLOOKUP(A107,Entrants,4,FALSE)))</f>
        <v/>
      </c>
      <c r="C107" s="40"/>
      <c r="D107" s="52" t="str">
        <f t="shared" ref="D107:D138" si="13">IF(IF(ISNA(VLOOKUP(A107,Entrants,5,FALSE)),"",VLOOKUP(A107,Entrants,5,FALSE))=0,"",IF(ISNA(VLOOKUP(A107,Entrants,5,FALSE)),"",VLOOKUP(A107,Entrants,5,FALSE)))</f>
        <v/>
      </c>
      <c r="E107" s="31"/>
      <c r="F107" s="53" t="str">
        <f t="shared" ref="F107:F138" si="14">IF(IF(ISNA(VLOOKUP(A107,Entrants,6,FALSE)),"",VLOOKUP(A107,Entrants,6,FALSE))=0,"",IF(ISNA(VLOOKUP(A107,Entrants,6,FALSE)),"",VLOOKUP(A107,Entrants,6,FALSE)))</f>
        <v/>
      </c>
      <c r="G107" s="15"/>
      <c r="H107" s="269" t="str">
        <f t="shared" ref="H107:H138" si="15">IF(IF(ISNA(VLOOKUP(A107,Entrants,7,FALSE)),"",VLOOKUP(A107,Entrants,7,FALSE))=0,"",IF(ISNA(VLOOKUP(A107,Entrants,7,FALSE)),"",VLOOKUP(A107,Entrants,7,FALSE)))</f>
        <v/>
      </c>
      <c r="I107" s="269"/>
      <c r="J107" s="270"/>
      <c r="K107" s="270"/>
      <c r="L107" s="270"/>
      <c r="M107" s="270"/>
      <c r="N107" s="270"/>
      <c r="O107" s="270"/>
      <c r="P107" s="23"/>
    </row>
    <row r="108" spans="1:16" ht="15" customHeight="1">
      <c r="A108" s="13">
        <v>98</v>
      </c>
      <c r="B108" s="39" t="str">
        <f t="shared" si="12"/>
        <v/>
      </c>
      <c r="C108" s="40"/>
      <c r="D108" s="52" t="str">
        <f t="shared" si="13"/>
        <v/>
      </c>
      <c r="E108" s="31"/>
      <c r="F108" s="53" t="str">
        <f t="shared" si="14"/>
        <v/>
      </c>
      <c r="G108" s="15"/>
      <c r="H108" s="269" t="str">
        <f t="shared" si="15"/>
        <v/>
      </c>
      <c r="I108" s="269"/>
      <c r="J108" s="270"/>
      <c r="K108" s="270"/>
      <c r="L108" s="270"/>
      <c r="M108" s="270"/>
      <c r="N108" s="270"/>
      <c r="O108" s="270"/>
      <c r="P108" s="23"/>
    </row>
    <row r="109" spans="1:16" ht="15" customHeight="1">
      <c r="A109" s="48">
        <v>99</v>
      </c>
      <c r="B109" s="39" t="str">
        <f t="shared" si="12"/>
        <v/>
      </c>
      <c r="C109" s="40"/>
      <c r="D109" s="52" t="str">
        <f t="shared" si="13"/>
        <v/>
      </c>
      <c r="E109" s="31"/>
      <c r="F109" s="53" t="str">
        <f t="shared" si="14"/>
        <v/>
      </c>
      <c r="G109" s="15"/>
      <c r="H109" s="269" t="str">
        <f t="shared" si="15"/>
        <v/>
      </c>
      <c r="I109" s="269"/>
      <c r="J109" s="270"/>
      <c r="K109" s="270"/>
      <c r="L109" s="270"/>
      <c r="M109" s="270"/>
      <c r="N109" s="270"/>
      <c r="O109" s="270"/>
      <c r="P109" s="23"/>
    </row>
    <row r="110" spans="1:16" ht="15" customHeight="1">
      <c r="A110" s="13">
        <v>100</v>
      </c>
      <c r="B110" s="39" t="str">
        <f t="shared" si="12"/>
        <v/>
      </c>
      <c r="C110" s="40"/>
      <c r="D110" s="52" t="str">
        <f t="shared" si="13"/>
        <v/>
      </c>
      <c r="E110" s="31"/>
      <c r="F110" s="53" t="str">
        <f t="shared" si="14"/>
        <v/>
      </c>
      <c r="G110" s="15"/>
      <c r="H110" s="269" t="str">
        <f t="shared" si="15"/>
        <v/>
      </c>
      <c r="I110" s="269"/>
      <c r="J110" s="270"/>
      <c r="K110" s="270"/>
      <c r="L110" s="270"/>
      <c r="M110" s="270"/>
      <c r="N110" s="270"/>
      <c r="O110" s="270"/>
      <c r="P110" s="23"/>
    </row>
    <row r="111" spans="1:16" ht="15" customHeight="1">
      <c r="A111" s="48">
        <v>101</v>
      </c>
      <c r="B111" s="39" t="str">
        <f t="shared" si="12"/>
        <v/>
      </c>
      <c r="C111" s="40"/>
      <c r="D111" s="52" t="str">
        <f t="shared" si="13"/>
        <v/>
      </c>
      <c r="E111" s="31"/>
      <c r="F111" s="53" t="str">
        <f t="shared" si="14"/>
        <v/>
      </c>
      <c r="G111" s="14"/>
      <c r="H111" s="269" t="str">
        <f t="shared" si="15"/>
        <v/>
      </c>
      <c r="I111" s="269"/>
      <c r="J111" s="270"/>
      <c r="K111" s="270"/>
      <c r="L111" s="270"/>
      <c r="M111" s="270"/>
      <c r="N111" s="270"/>
      <c r="O111" s="270"/>
      <c r="P111" s="23"/>
    </row>
    <row r="112" spans="1:16" ht="15" customHeight="1">
      <c r="A112" s="13">
        <v>102</v>
      </c>
      <c r="B112" s="39" t="str">
        <f t="shared" si="12"/>
        <v/>
      </c>
      <c r="C112" s="40"/>
      <c r="D112" s="52" t="str">
        <f t="shared" si="13"/>
        <v/>
      </c>
      <c r="E112" s="31"/>
      <c r="F112" s="53" t="str">
        <f t="shared" si="14"/>
        <v/>
      </c>
      <c r="G112" s="14"/>
      <c r="H112" s="269" t="str">
        <f t="shared" si="15"/>
        <v/>
      </c>
      <c r="I112" s="269"/>
      <c r="J112" s="270"/>
      <c r="K112" s="270"/>
      <c r="L112" s="270"/>
      <c r="M112" s="270"/>
      <c r="N112" s="270"/>
      <c r="O112" s="270"/>
      <c r="P112" s="23"/>
    </row>
    <row r="113" spans="1:16" ht="15" customHeight="1">
      <c r="A113" s="48">
        <v>103</v>
      </c>
      <c r="B113" s="39" t="str">
        <f t="shared" si="12"/>
        <v/>
      </c>
      <c r="C113" s="40"/>
      <c r="D113" s="52" t="str">
        <f t="shared" si="13"/>
        <v/>
      </c>
      <c r="E113" s="31"/>
      <c r="F113" s="53" t="str">
        <f t="shared" si="14"/>
        <v/>
      </c>
      <c r="G113" s="15"/>
      <c r="H113" s="269" t="str">
        <f t="shared" si="15"/>
        <v/>
      </c>
      <c r="I113" s="269"/>
      <c r="J113" s="270"/>
      <c r="K113" s="270"/>
      <c r="L113" s="270"/>
      <c r="M113" s="270"/>
      <c r="N113" s="270"/>
      <c r="O113" s="270"/>
      <c r="P113" s="23"/>
    </row>
    <row r="114" spans="1:16" ht="15" customHeight="1">
      <c r="A114" s="13">
        <v>104</v>
      </c>
      <c r="B114" s="39" t="str">
        <f t="shared" si="12"/>
        <v/>
      </c>
      <c r="C114" s="40"/>
      <c r="D114" s="52" t="str">
        <f t="shared" si="13"/>
        <v/>
      </c>
      <c r="E114" s="31"/>
      <c r="F114" s="53" t="str">
        <f t="shared" si="14"/>
        <v/>
      </c>
      <c r="G114" s="15"/>
      <c r="H114" s="269" t="str">
        <f t="shared" si="15"/>
        <v/>
      </c>
      <c r="I114" s="269"/>
      <c r="J114" s="270"/>
      <c r="K114" s="270"/>
      <c r="L114" s="270"/>
      <c r="M114" s="270"/>
      <c r="N114" s="270"/>
      <c r="O114" s="270"/>
      <c r="P114" s="23"/>
    </row>
    <row r="115" spans="1:16" ht="15" customHeight="1">
      <c r="A115" s="48">
        <v>105</v>
      </c>
      <c r="B115" s="39" t="str">
        <f t="shared" si="12"/>
        <v/>
      </c>
      <c r="C115" s="40"/>
      <c r="D115" s="52" t="str">
        <f t="shared" si="13"/>
        <v/>
      </c>
      <c r="E115" s="31"/>
      <c r="F115" s="53" t="str">
        <f t="shared" si="14"/>
        <v/>
      </c>
      <c r="G115" s="14"/>
      <c r="H115" s="269" t="str">
        <f t="shared" si="15"/>
        <v/>
      </c>
      <c r="I115" s="269"/>
      <c r="J115" s="270"/>
      <c r="K115" s="270"/>
      <c r="L115" s="270"/>
      <c r="M115" s="270"/>
      <c r="N115" s="270"/>
      <c r="O115" s="270"/>
      <c r="P115" s="23"/>
    </row>
    <row r="116" spans="1:16" ht="15" customHeight="1">
      <c r="A116" s="13">
        <v>106</v>
      </c>
      <c r="B116" s="39" t="str">
        <f t="shared" si="12"/>
        <v/>
      </c>
      <c r="C116" s="40"/>
      <c r="D116" s="52" t="str">
        <f t="shared" si="13"/>
        <v/>
      </c>
      <c r="E116" s="31"/>
      <c r="F116" s="53" t="str">
        <f t="shared" si="14"/>
        <v/>
      </c>
      <c r="G116" s="15"/>
      <c r="H116" s="269" t="str">
        <f t="shared" si="15"/>
        <v/>
      </c>
      <c r="I116" s="269"/>
      <c r="J116" s="270"/>
      <c r="K116" s="270"/>
      <c r="L116" s="270"/>
      <c r="M116" s="270"/>
      <c r="N116" s="270"/>
      <c r="O116" s="270"/>
      <c r="P116" s="23"/>
    </row>
    <row r="117" spans="1:16" ht="15" customHeight="1">
      <c r="A117" s="48">
        <v>107</v>
      </c>
      <c r="B117" s="39" t="str">
        <f t="shared" si="12"/>
        <v/>
      </c>
      <c r="C117" s="40"/>
      <c r="D117" s="52" t="str">
        <f t="shared" si="13"/>
        <v/>
      </c>
      <c r="E117" s="31"/>
      <c r="F117" s="53" t="str">
        <f t="shared" si="14"/>
        <v/>
      </c>
      <c r="G117" s="15"/>
      <c r="H117" s="269" t="str">
        <f t="shared" si="15"/>
        <v/>
      </c>
      <c r="I117" s="269"/>
      <c r="J117" s="270"/>
      <c r="K117" s="270"/>
      <c r="L117" s="270"/>
      <c r="M117" s="270"/>
      <c r="N117" s="270"/>
      <c r="O117" s="270"/>
      <c r="P117" s="23"/>
    </row>
    <row r="118" spans="1:16" ht="15" customHeight="1">
      <c r="A118" s="13">
        <v>108</v>
      </c>
      <c r="B118" s="39" t="str">
        <f t="shared" si="12"/>
        <v/>
      </c>
      <c r="C118" s="40"/>
      <c r="D118" s="52" t="str">
        <f t="shared" si="13"/>
        <v/>
      </c>
      <c r="E118" s="31"/>
      <c r="F118" s="53" t="str">
        <f t="shared" si="14"/>
        <v/>
      </c>
      <c r="G118" s="15"/>
      <c r="H118" s="269" t="str">
        <f t="shared" si="15"/>
        <v/>
      </c>
      <c r="I118" s="269"/>
      <c r="J118" s="270"/>
      <c r="K118" s="270"/>
      <c r="L118" s="270"/>
      <c r="M118" s="270"/>
      <c r="N118" s="270"/>
      <c r="O118" s="270"/>
      <c r="P118" s="23"/>
    </row>
    <row r="119" spans="1:16" ht="15" customHeight="1">
      <c r="A119" s="48">
        <v>109</v>
      </c>
      <c r="B119" s="39" t="str">
        <f t="shared" si="12"/>
        <v/>
      </c>
      <c r="C119" s="40"/>
      <c r="D119" s="52" t="str">
        <f t="shared" si="13"/>
        <v/>
      </c>
      <c r="E119" s="31"/>
      <c r="F119" s="53" t="str">
        <f t="shared" si="14"/>
        <v/>
      </c>
      <c r="G119" s="15"/>
      <c r="H119" s="269" t="str">
        <f t="shared" si="15"/>
        <v/>
      </c>
      <c r="I119" s="269"/>
      <c r="J119" s="270"/>
      <c r="K119" s="270"/>
      <c r="L119" s="270"/>
      <c r="M119" s="270"/>
      <c r="N119" s="270"/>
      <c r="O119" s="270"/>
      <c r="P119" s="23"/>
    </row>
    <row r="120" spans="1:16" ht="15" customHeight="1">
      <c r="A120" s="13">
        <v>110</v>
      </c>
      <c r="B120" s="39" t="str">
        <f t="shared" si="12"/>
        <v/>
      </c>
      <c r="C120" s="40"/>
      <c r="D120" s="52" t="str">
        <f t="shared" si="13"/>
        <v/>
      </c>
      <c r="E120" s="31"/>
      <c r="F120" s="53" t="str">
        <f t="shared" si="14"/>
        <v/>
      </c>
      <c r="G120" s="15"/>
      <c r="H120" s="269" t="str">
        <f t="shared" si="15"/>
        <v/>
      </c>
      <c r="I120" s="269"/>
      <c r="J120" s="270"/>
      <c r="K120" s="270"/>
      <c r="L120" s="270"/>
      <c r="M120" s="270"/>
      <c r="N120" s="270"/>
      <c r="O120" s="270"/>
      <c r="P120" s="23"/>
    </row>
    <row r="121" spans="1:16" ht="15" customHeight="1">
      <c r="A121" s="48">
        <v>111</v>
      </c>
      <c r="B121" s="39" t="str">
        <f t="shared" si="12"/>
        <v/>
      </c>
      <c r="C121" s="40"/>
      <c r="D121" s="52" t="str">
        <f t="shared" si="13"/>
        <v/>
      </c>
      <c r="E121" s="31"/>
      <c r="F121" s="53" t="str">
        <f t="shared" si="14"/>
        <v/>
      </c>
      <c r="G121" s="15"/>
      <c r="H121" s="269" t="str">
        <f t="shared" si="15"/>
        <v/>
      </c>
      <c r="I121" s="269"/>
      <c r="J121" s="270"/>
      <c r="K121" s="270"/>
      <c r="L121" s="270"/>
      <c r="M121" s="270"/>
      <c r="N121" s="270"/>
      <c r="O121" s="270"/>
      <c r="P121" s="23"/>
    </row>
    <row r="122" spans="1:16" ht="15" customHeight="1">
      <c r="A122" s="13">
        <v>112</v>
      </c>
      <c r="B122" s="39" t="str">
        <f t="shared" si="12"/>
        <v/>
      </c>
      <c r="C122" s="40"/>
      <c r="D122" s="52" t="str">
        <f t="shared" si="13"/>
        <v/>
      </c>
      <c r="E122" s="31"/>
      <c r="F122" s="53" t="str">
        <f t="shared" si="14"/>
        <v/>
      </c>
      <c r="G122" s="15"/>
      <c r="H122" s="269" t="str">
        <f t="shared" si="15"/>
        <v/>
      </c>
      <c r="I122" s="269"/>
      <c r="J122" s="270"/>
      <c r="K122" s="270"/>
      <c r="L122" s="270"/>
      <c r="M122" s="270"/>
      <c r="N122" s="270"/>
      <c r="O122" s="270"/>
      <c r="P122" s="23"/>
    </row>
    <row r="123" spans="1:16" ht="15" customHeight="1">
      <c r="A123" s="48">
        <v>113</v>
      </c>
      <c r="B123" s="39" t="str">
        <f t="shared" si="12"/>
        <v/>
      </c>
      <c r="C123" s="40"/>
      <c r="D123" s="52" t="str">
        <f t="shared" si="13"/>
        <v/>
      </c>
      <c r="E123" s="31"/>
      <c r="F123" s="53" t="str">
        <f t="shared" si="14"/>
        <v/>
      </c>
      <c r="G123" s="15"/>
      <c r="H123" s="269" t="str">
        <f t="shared" si="15"/>
        <v/>
      </c>
      <c r="I123" s="269"/>
      <c r="J123" s="270"/>
      <c r="K123" s="270"/>
      <c r="L123" s="270"/>
      <c r="M123" s="270"/>
      <c r="N123" s="270"/>
      <c r="O123" s="270"/>
      <c r="P123" s="23"/>
    </row>
    <row r="124" spans="1:16" ht="15" customHeight="1">
      <c r="A124" s="13">
        <v>114</v>
      </c>
      <c r="B124" s="39" t="str">
        <f t="shared" si="12"/>
        <v/>
      </c>
      <c r="C124" s="40"/>
      <c r="D124" s="52" t="str">
        <f t="shared" si="13"/>
        <v/>
      </c>
      <c r="E124" s="31"/>
      <c r="F124" s="53" t="str">
        <f t="shared" si="14"/>
        <v/>
      </c>
      <c r="G124" s="15"/>
      <c r="H124" s="269" t="str">
        <f t="shared" si="15"/>
        <v/>
      </c>
      <c r="I124" s="269"/>
      <c r="J124" s="270"/>
      <c r="K124" s="270"/>
      <c r="L124" s="270"/>
      <c r="M124" s="270"/>
      <c r="N124" s="270"/>
      <c r="O124" s="270"/>
      <c r="P124" s="23"/>
    </row>
    <row r="125" spans="1:16" ht="15" customHeight="1">
      <c r="A125" s="48">
        <v>115</v>
      </c>
      <c r="B125" s="39" t="str">
        <f t="shared" si="12"/>
        <v/>
      </c>
      <c r="C125" s="40"/>
      <c r="D125" s="52" t="str">
        <f t="shared" si="13"/>
        <v/>
      </c>
      <c r="E125" s="31"/>
      <c r="F125" s="53" t="str">
        <f t="shared" si="14"/>
        <v/>
      </c>
      <c r="G125" s="15"/>
      <c r="H125" s="269" t="str">
        <f t="shared" si="15"/>
        <v/>
      </c>
      <c r="I125" s="269"/>
      <c r="J125" s="270"/>
      <c r="K125" s="270"/>
      <c r="L125" s="270"/>
      <c r="M125" s="270"/>
      <c r="N125" s="270"/>
      <c r="O125" s="270"/>
      <c r="P125" s="23"/>
    </row>
    <row r="126" spans="1:16" ht="15" customHeight="1">
      <c r="A126" s="13">
        <v>116</v>
      </c>
      <c r="B126" s="39" t="str">
        <f t="shared" si="12"/>
        <v/>
      </c>
      <c r="C126" s="40"/>
      <c r="D126" s="52" t="str">
        <f t="shared" si="13"/>
        <v/>
      </c>
      <c r="E126" s="31"/>
      <c r="F126" s="53" t="str">
        <f t="shared" si="14"/>
        <v/>
      </c>
      <c r="G126" s="15"/>
      <c r="H126" s="269" t="str">
        <f t="shared" si="15"/>
        <v/>
      </c>
      <c r="I126" s="269"/>
      <c r="J126" s="270"/>
      <c r="K126" s="270"/>
      <c r="L126" s="270"/>
      <c r="M126" s="270"/>
      <c r="N126" s="270"/>
      <c r="O126" s="270"/>
      <c r="P126" s="23"/>
    </row>
    <row r="127" spans="1:16" ht="15" customHeight="1">
      <c r="A127" s="48">
        <v>117</v>
      </c>
      <c r="B127" s="39" t="str">
        <f t="shared" si="12"/>
        <v/>
      </c>
      <c r="C127" s="40"/>
      <c r="D127" s="52" t="str">
        <f t="shared" si="13"/>
        <v/>
      </c>
      <c r="E127" s="31"/>
      <c r="F127" s="53" t="str">
        <f t="shared" si="14"/>
        <v/>
      </c>
      <c r="G127" s="15"/>
      <c r="H127" s="269" t="str">
        <f t="shared" si="15"/>
        <v/>
      </c>
      <c r="I127" s="269"/>
      <c r="J127" s="270"/>
      <c r="K127" s="270"/>
      <c r="L127" s="270"/>
      <c r="M127" s="270"/>
      <c r="N127" s="270"/>
      <c r="O127" s="270"/>
      <c r="P127" s="23"/>
    </row>
    <row r="128" spans="1:16" ht="15" customHeight="1">
      <c r="A128" s="13">
        <v>118</v>
      </c>
      <c r="B128" s="39" t="str">
        <f t="shared" si="12"/>
        <v/>
      </c>
      <c r="C128" s="40"/>
      <c r="D128" s="52" t="str">
        <f t="shared" si="13"/>
        <v/>
      </c>
      <c r="E128" s="31"/>
      <c r="F128" s="53" t="str">
        <f t="shared" si="14"/>
        <v/>
      </c>
      <c r="G128" s="15"/>
      <c r="H128" s="269" t="str">
        <f t="shared" si="15"/>
        <v/>
      </c>
      <c r="I128" s="269"/>
      <c r="J128" s="270"/>
      <c r="K128" s="270"/>
      <c r="L128" s="270"/>
      <c r="M128" s="270"/>
      <c r="N128" s="270"/>
      <c r="O128" s="270"/>
      <c r="P128" s="23"/>
    </row>
    <row r="129" spans="1:16" ht="15" customHeight="1">
      <c r="A129" s="48">
        <v>119</v>
      </c>
      <c r="B129" s="39" t="str">
        <f t="shared" si="12"/>
        <v/>
      </c>
      <c r="C129" s="40"/>
      <c r="D129" s="52" t="str">
        <f t="shared" si="13"/>
        <v/>
      </c>
      <c r="E129" s="31"/>
      <c r="F129" s="53" t="str">
        <f t="shared" si="14"/>
        <v/>
      </c>
      <c r="G129" s="15"/>
      <c r="H129" s="269" t="str">
        <f t="shared" si="15"/>
        <v/>
      </c>
      <c r="I129" s="269"/>
      <c r="J129" s="270"/>
      <c r="K129" s="270"/>
      <c r="L129" s="270"/>
      <c r="M129" s="270"/>
      <c r="N129" s="270"/>
      <c r="O129" s="270"/>
      <c r="P129" s="23"/>
    </row>
    <row r="130" spans="1:16" ht="15" customHeight="1">
      <c r="A130" s="13">
        <v>120</v>
      </c>
      <c r="B130" s="39" t="str">
        <f t="shared" si="12"/>
        <v/>
      </c>
      <c r="C130" s="40"/>
      <c r="D130" s="52" t="str">
        <f t="shared" si="13"/>
        <v/>
      </c>
      <c r="E130" s="31"/>
      <c r="F130" s="53" t="str">
        <f t="shared" si="14"/>
        <v/>
      </c>
      <c r="G130" s="15"/>
      <c r="H130" s="269" t="str">
        <f t="shared" si="15"/>
        <v/>
      </c>
      <c r="I130" s="269"/>
      <c r="J130" s="270"/>
      <c r="K130" s="270"/>
      <c r="L130" s="270"/>
      <c r="M130" s="270"/>
      <c r="N130" s="270"/>
      <c r="O130" s="270"/>
      <c r="P130" s="23"/>
    </row>
    <row r="131" spans="1:16" ht="15" customHeight="1">
      <c r="A131" s="48">
        <v>121</v>
      </c>
      <c r="B131" s="39" t="str">
        <f t="shared" si="12"/>
        <v/>
      </c>
      <c r="C131" s="40"/>
      <c r="D131" s="52" t="str">
        <f t="shared" si="13"/>
        <v/>
      </c>
      <c r="E131" s="31"/>
      <c r="F131" s="53" t="str">
        <f t="shared" si="14"/>
        <v/>
      </c>
      <c r="G131" s="15"/>
      <c r="H131" s="269" t="str">
        <f t="shared" si="15"/>
        <v/>
      </c>
      <c r="I131" s="269"/>
      <c r="J131" s="270"/>
      <c r="K131" s="270"/>
      <c r="L131" s="270"/>
      <c r="M131" s="270"/>
      <c r="N131" s="270"/>
      <c r="O131" s="270"/>
      <c r="P131" s="23"/>
    </row>
    <row r="132" spans="1:16" ht="15" customHeight="1">
      <c r="A132" s="13">
        <v>122</v>
      </c>
      <c r="B132" s="39" t="str">
        <f t="shared" si="12"/>
        <v/>
      </c>
      <c r="C132" s="40"/>
      <c r="D132" s="52" t="str">
        <f t="shared" si="13"/>
        <v/>
      </c>
      <c r="E132" s="31"/>
      <c r="F132" s="53" t="str">
        <f t="shared" si="14"/>
        <v/>
      </c>
      <c r="G132" s="15"/>
      <c r="H132" s="269" t="str">
        <f t="shared" si="15"/>
        <v/>
      </c>
      <c r="I132" s="269"/>
      <c r="J132" s="270"/>
      <c r="K132" s="270"/>
      <c r="L132" s="270"/>
      <c r="M132" s="270"/>
      <c r="N132" s="270"/>
      <c r="O132" s="270"/>
      <c r="P132" s="23"/>
    </row>
    <row r="133" spans="1:16" ht="15" customHeight="1">
      <c r="A133" s="48">
        <v>123</v>
      </c>
      <c r="B133" s="39" t="str">
        <f t="shared" si="12"/>
        <v/>
      </c>
      <c r="C133" s="40"/>
      <c r="D133" s="52" t="str">
        <f t="shared" si="13"/>
        <v/>
      </c>
      <c r="E133" s="31"/>
      <c r="F133" s="53" t="str">
        <f t="shared" si="14"/>
        <v/>
      </c>
      <c r="G133" s="15"/>
      <c r="H133" s="269" t="str">
        <f t="shared" si="15"/>
        <v/>
      </c>
      <c r="I133" s="269"/>
      <c r="J133" s="270"/>
      <c r="K133" s="270"/>
      <c r="L133" s="270"/>
      <c r="M133" s="270"/>
      <c r="N133" s="270"/>
      <c r="O133" s="270"/>
      <c r="P133" s="23"/>
    </row>
    <row r="134" spans="1:16" ht="15" customHeight="1">
      <c r="A134" s="13">
        <v>124</v>
      </c>
      <c r="B134" s="39" t="str">
        <f t="shared" si="12"/>
        <v/>
      </c>
      <c r="C134" s="40"/>
      <c r="D134" s="52" t="str">
        <f t="shared" si="13"/>
        <v/>
      </c>
      <c r="E134" s="31"/>
      <c r="F134" s="53" t="str">
        <f t="shared" si="14"/>
        <v/>
      </c>
      <c r="G134" s="15"/>
      <c r="H134" s="269" t="str">
        <f t="shared" si="15"/>
        <v/>
      </c>
      <c r="I134" s="269"/>
      <c r="J134" s="270"/>
      <c r="K134" s="270"/>
      <c r="L134" s="270"/>
      <c r="M134" s="270"/>
      <c r="N134" s="270"/>
      <c r="O134" s="270"/>
      <c r="P134" s="23"/>
    </row>
    <row r="135" spans="1:16" ht="15" customHeight="1">
      <c r="A135" s="48">
        <v>125</v>
      </c>
      <c r="B135" s="39" t="str">
        <f t="shared" si="12"/>
        <v/>
      </c>
      <c r="C135" s="40"/>
      <c r="D135" s="52" t="str">
        <f t="shared" si="13"/>
        <v/>
      </c>
      <c r="E135" s="31"/>
      <c r="F135" s="53" t="str">
        <f t="shared" si="14"/>
        <v/>
      </c>
      <c r="G135" s="15"/>
      <c r="H135" s="269" t="str">
        <f t="shared" si="15"/>
        <v/>
      </c>
      <c r="I135" s="269"/>
      <c r="J135" s="39"/>
      <c r="K135" s="41"/>
      <c r="L135" s="41"/>
      <c r="M135" s="40"/>
      <c r="N135" s="39"/>
      <c r="O135" s="40"/>
      <c r="P135" s="23"/>
    </row>
    <row r="136" spans="1:16" ht="15" customHeight="1">
      <c r="A136" s="13">
        <v>126</v>
      </c>
      <c r="B136" s="39" t="str">
        <f t="shared" si="12"/>
        <v/>
      </c>
      <c r="C136" s="40"/>
      <c r="D136" s="52" t="str">
        <f t="shared" si="13"/>
        <v/>
      </c>
      <c r="E136" s="31"/>
      <c r="F136" s="53" t="str">
        <f t="shared" si="14"/>
        <v/>
      </c>
      <c r="G136" s="15"/>
      <c r="H136" s="269" t="str">
        <f t="shared" si="15"/>
        <v/>
      </c>
      <c r="I136" s="269"/>
      <c r="J136" s="271"/>
      <c r="K136" s="272"/>
      <c r="L136" s="272"/>
      <c r="M136" s="273"/>
      <c r="N136" s="271"/>
      <c r="O136" s="273"/>
      <c r="P136" s="23"/>
    </row>
    <row r="137" spans="1:16" ht="15" customHeight="1">
      <c r="A137" s="48">
        <v>127</v>
      </c>
      <c r="B137" s="39" t="str">
        <f t="shared" si="12"/>
        <v/>
      </c>
      <c r="C137" s="51"/>
      <c r="D137" s="52" t="str">
        <f t="shared" si="13"/>
        <v/>
      </c>
      <c r="E137" s="47"/>
      <c r="F137" s="53" t="str">
        <f t="shared" si="14"/>
        <v/>
      </c>
      <c r="G137" s="49"/>
      <c r="H137" s="269" t="str">
        <f t="shared" si="15"/>
        <v/>
      </c>
      <c r="I137" s="269"/>
      <c r="J137" s="56"/>
      <c r="K137" s="57"/>
      <c r="L137" s="57"/>
      <c r="M137" s="51"/>
      <c r="N137" s="56"/>
      <c r="O137" s="51"/>
      <c r="P137" s="50"/>
    </row>
    <row r="138" spans="1:16" ht="15" customHeight="1">
      <c r="A138" s="13">
        <v>128</v>
      </c>
      <c r="B138" s="39" t="str">
        <f t="shared" si="12"/>
        <v/>
      </c>
      <c r="C138" s="51"/>
      <c r="D138" s="52" t="str">
        <f t="shared" si="13"/>
        <v/>
      </c>
      <c r="E138" s="47"/>
      <c r="F138" s="53" t="str">
        <f t="shared" si="14"/>
        <v/>
      </c>
      <c r="G138" s="49"/>
      <c r="H138" s="269" t="str">
        <f t="shared" si="15"/>
        <v/>
      </c>
      <c r="I138" s="269"/>
      <c r="J138" s="56"/>
      <c r="K138" s="57"/>
      <c r="L138" s="57"/>
      <c r="M138" s="51"/>
      <c r="N138" s="56"/>
      <c r="O138" s="51"/>
      <c r="P138" s="50"/>
    </row>
    <row r="139" spans="1:16" ht="15" customHeight="1">
      <c r="A139" s="48">
        <v>129</v>
      </c>
      <c r="B139" s="39" t="str">
        <f t="shared" ref="B139:B170" si="16">IF(IF(ISNA(VLOOKUP(A139,Entrants,4,FALSE)),"",VLOOKUP(A139,Entrants,4,FALSE))="","",IF(ISNA(VLOOKUP(A139,Entrants,4,FALSE)),"",VLOOKUP(A139,Entrants,4,FALSE)))</f>
        <v/>
      </c>
      <c r="C139" s="51"/>
      <c r="D139" s="52" t="str">
        <f t="shared" ref="D139:D170" si="17">IF(IF(ISNA(VLOOKUP(A139,Entrants,5,FALSE)),"",VLOOKUP(A139,Entrants,5,FALSE))=0,"",IF(ISNA(VLOOKUP(A139,Entrants,5,FALSE)),"",VLOOKUP(A139,Entrants,5,FALSE)))</f>
        <v/>
      </c>
      <c r="E139" s="47"/>
      <c r="F139" s="53" t="str">
        <f t="shared" ref="F139:F170" si="18">IF(IF(ISNA(VLOOKUP(A139,Entrants,6,FALSE)),"",VLOOKUP(A139,Entrants,6,FALSE))=0,"",IF(ISNA(VLOOKUP(A139,Entrants,6,FALSE)),"",VLOOKUP(A139,Entrants,6,FALSE)))</f>
        <v/>
      </c>
      <c r="G139" s="49"/>
      <c r="H139" s="269" t="str">
        <f t="shared" ref="H139:H170" si="19">IF(IF(ISNA(VLOOKUP(A139,Entrants,7,FALSE)),"",VLOOKUP(A139,Entrants,7,FALSE))=0,"",IF(ISNA(VLOOKUP(A139,Entrants,7,FALSE)),"",VLOOKUP(A139,Entrants,7,FALSE)))</f>
        <v/>
      </c>
      <c r="I139" s="269"/>
      <c r="J139" s="56"/>
      <c r="K139" s="57"/>
      <c r="L139" s="57"/>
      <c r="M139" s="51"/>
      <c r="N139" s="56"/>
      <c r="O139" s="51"/>
      <c r="P139" s="50"/>
    </row>
    <row r="140" spans="1:16" ht="15" customHeight="1">
      <c r="A140" s="13">
        <v>130</v>
      </c>
      <c r="B140" s="39" t="str">
        <f t="shared" si="16"/>
        <v/>
      </c>
      <c r="C140" s="51"/>
      <c r="D140" s="52" t="str">
        <f t="shared" si="17"/>
        <v/>
      </c>
      <c r="E140" s="47"/>
      <c r="F140" s="53" t="str">
        <f t="shared" si="18"/>
        <v/>
      </c>
      <c r="G140" s="49"/>
      <c r="H140" s="269" t="str">
        <f t="shared" si="19"/>
        <v/>
      </c>
      <c r="I140" s="269"/>
      <c r="J140" s="56"/>
      <c r="K140" s="57"/>
      <c r="L140" s="57"/>
      <c r="M140" s="51"/>
      <c r="N140" s="56"/>
      <c r="O140" s="51"/>
      <c r="P140" s="50"/>
    </row>
    <row r="141" spans="1:16" ht="15" customHeight="1">
      <c r="A141" s="48">
        <v>131</v>
      </c>
      <c r="B141" s="39" t="str">
        <f t="shared" si="16"/>
        <v/>
      </c>
      <c r="C141" s="51"/>
      <c r="D141" s="52" t="str">
        <f t="shared" si="17"/>
        <v/>
      </c>
      <c r="E141" s="47"/>
      <c r="F141" s="53" t="str">
        <f t="shared" si="18"/>
        <v/>
      </c>
      <c r="G141" s="49"/>
      <c r="H141" s="269" t="str">
        <f t="shared" si="19"/>
        <v/>
      </c>
      <c r="I141" s="269"/>
      <c r="J141" s="56"/>
      <c r="K141" s="57"/>
      <c r="L141" s="57"/>
      <c r="M141" s="51"/>
      <c r="N141" s="56"/>
      <c r="O141" s="51"/>
      <c r="P141" s="50"/>
    </row>
    <row r="142" spans="1:16" ht="15" customHeight="1">
      <c r="A142" s="13">
        <v>132</v>
      </c>
      <c r="B142" s="39" t="str">
        <f t="shared" si="16"/>
        <v/>
      </c>
      <c r="C142" s="51"/>
      <c r="D142" s="52" t="str">
        <f t="shared" si="17"/>
        <v/>
      </c>
      <c r="E142" s="47"/>
      <c r="F142" s="53" t="str">
        <f t="shared" si="18"/>
        <v/>
      </c>
      <c r="G142" s="49"/>
      <c r="H142" s="269" t="str">
        <f t="shared" si="19"/>
        <v/>
      </c>
      <c r="I142" s="269"/>
      <c r="J142" s="56"/>
      <c r="K142" s="57"/>
      <c r="L142" s="57"/>
      <c r="M142" s="51"/>
      <c r="N142" s="56"/>
      <c r="O142" s="51"/>
      <c r="P142" s="50"/>
    </row>
    <row r="143" spans="1:16" ht="15" customHeight="1">
      <c r="A143" s="48">
        <v>133</v>
      </c>
      <c r="B143" s="39" t="str">
        <f t="shared" si="16"/>
        <v/>
      </c>
      <c r="C143" s="51"/>
      <c r="D143" s="52" t="str">
        <f t="shared" si="17"/>
        <v/>
      </c>
      <c r="E143" s="47"/>
      <c r="F143" s="53" t="str">
        <f t="shared" si="18"/>
        <v/>
      </c>
      <c r="G143" s="49"/>
      <c r="H143" s="269" t="str">
        <f t="shared" si="19"/>
        <v/>
      </c>
      <c r="I143" s="269"/>
      <c r="J143" s="56"/>
      <c r="K143" s="57"/>
      <c r="L143" s="57"/>
      <c r="M143" s="51"/>
      <c r="N143" s="56"/>
      <c r="O143" s="51"/>
      <c r="P143" s="50"/>
    </row>
    <row r="144" spans="1:16" ht="15" customHeight="1">
      <c r="A144" s="13">
        <v>134</v>
      </c>
      <c r="B144" s="39" t="str">
        <f t="shared" si="16"/>
        <v/>
      </c>
      <c r="C144" s="51"/>
      <c r="D144" s="52" t="str">
        <f t="shared" si="17"/>
        <v/>
      </c>
      <c r="E144" s="47"/>
      <c r="F144" s="53" t="str">
        <f t="shared" si="18"/>
        <v/>
      </c>
      <c r="G144" s="49"/>
      <c r="H144" s="269" t="str">
        <f t="shared" si="19"/>
        <v/>
      </c>
      <c r="I144" s="269"/>
      <c r="J144" s="56"/>
      <c r="K144" s="57"/>
      <c r="L144" s="57"/>
      <c r="M144" s="51"/>
      <c r="N144" s="56"/>
      <c r="O144" s="51"/>
      <c r="P144" s="50"/>
    </row>
    <row r="145" spans="1:16" ht="15" customHeight="1">
      <c r="A145" s="48">
        <v>135</v>
      </c>
      <c r="B145" s="39" t="str">
        <f t="shared" si="16"/>
        <v/>
      </c>
      <c r="C145" s="51"/>
      <c r="D145" s="52" t="str">
        <f t="shared" si="17"/>
        <v/>
      </c>
      <c r="E145" s="47"/>
      <c r="F145" s="53" t="str">
        <f t="shared" si="18"/>
        <v/>
      </c>
      <c r="G145" s="49"/>
      <c r="H145" s="269" t="str">
        <f t="shared" si="19"/>
        <v/>
      </c>
      <c r="I145" s="269"/>
      <c r="J145" s="56"/>
      <c r="K145" s="57"/>
      <c r="L145" s="57"/>
      <c r="M145" s="51"/>
      <c r="N145" s="56"/>
      <c r="O145" s="51"/>
      <c r="P145" s="50"/>
    </row>
    <row r="146" spans="1:16" ht="15" customHeight="1">
      <c r="A146" s="13">
        <v>136</v>
      </c>
      <c r="B146" s="39" t="str">
        <f t="shared" si="16"/>
        <v/>
      </c>
      <c r="C146" s="51"/>
      <c r="D146" s="52" t="str">
        <f t="shared" si="17"/>
        <v/>
      </c>
      <c r="E146" s="47"/>
      <c r="F146" s="53" t="str">
        <f t="shared" si="18"/>
        <v/>
      </c>
      <c r="G146" s="49"/>
      <c r="H146" s="269" t="str">
        <f t="shared" si="19"/>
        <v/>
      </c>
      <c r="I146" s="269"/>
      <c r="J146" s="56"/>
      <c r="K146" s="57"/>
      <c r="L146" s="57"/>
      <c r="M146" s="51"/>
      <c r="N146" s="56"/>
      <c r="O146" s="51"/>
      <c r="P146" s="50"/>
    </row>
    <row r="147" spans="1:16" ht="15" customHeight="1">
      <c r="A147" s="48">
        <v>137</v>
      </c>
      <c r="B147" s="39" t="str">
        <f t="shared" si="16"/>
        <v/>
      </c>
      <c r="C147" s="51"/>
      <c r="D147" s="52" t="str">
        <f t="shared" si="17"/>
        <v/>
      </c>
      <c r="E147" s="47"/>
      <c r="F147" s="53" t="str">
        <f t="shared" si="18"/>
        <v/>
      </c>
      <c r="G147" s="49"/>
      <c r="H147" s="269" t="str">
        <f t="shared" si="19"/>
        <v/>
      </c>
      <c r="I147" s="269"/>
      <c r="J147" s="56"/>
      <c r="K147" s="57"/>
      <c r="L147" s="57"/>
      <c r="M147" s="51"/>
      <c r="N147" s="56"/>
      <c r="O147" s="51"/>
      <c r="P147" s="50"/>
    </row>
    <row r="148" spans="1:16" ht="15" customHeight="1">
      <c r="A148" s="13">
        <v>138</v>
      </c>
      <c r="B148" s="39" t="str">
        <f t="shared" si="16"/>
        <v/>
      </c>
      <c r="C148" s="51"/>
      <c r="D148" s="52" t="str">
        <f t="shared" si="17"/>
        <v/>
      </c>
      <c r="E148" s="47"/>
      <c r="F148" s="53" t="str">
        <f t="shared" si="18"/>
        <v/>
      </c>
      <c r="G148" s="49"/>
      <c r="H148" s="269" t="str">
        <f t="shared" si="19"/>
        <v/>
      </c>
      <c r="I148" s="269"/>
      <c r="J148" s="56"/>
      <c r="K148" s="57"/>
      <c r="L148" s="57"/>
      <c r="M148" s="51"/>
      <c r="N148" s="56"/>
      <c r="O148" s="51"/>
      <c r="P148" s="50"/>
    </row>
    <row r="149" spans="1:16" ht="15" customHeight="1">
      <c r="A149" s="48">
        <v>139</v>
      </c>
      <c r="B149" s="39" t="str">
        <f t="shared" si="16"/>
        <v/>
      </c>
      <c r="C149" s="51"/>
      <c r="D149" s="52" t="str">
        <f t="shared" si="17"/>
        <v/>
      </c>
      <c r="E149" s="47"/>
      <c r="F149" s="53" t="str">
        <f t="shared" si="18"/>
        <v/>
      </c>
      <c r="G149" s="49"/>
      <c r="H149" s="269" t="str">
        <f t="shared" si="19"/>
        <v/>
      </c>
      <c r="I149" s="269"/>
      <c r="J149" s="56"/>
      <c r="K149" s="57"/>
      <c r="L149" s="57"/>
      <c r="M149" s="51"/>
      <c r="N149" s="56"/>
      <c r="O149" s="51"/>
      <c r="P149" s="50"/>
    </row>
    <row r="150" spans="1:16" ht="15" customHeight="1">
      <c r="A150" s="13">
        <v>140</v>
      </c>
      <c r="B150" s="39" t="str">
        <f t="shared" si="16"/>
        <v/>
      </c>
      <c r="C150" s="51"/>
      <c r="D150" s="52" t="str">
        <f t="shared" si="17"/>
        <v/>
      </c>
      <c r="E150" s="47"/>
      <c r="F150" s="53" t="str">
        <f t="shared" si="18"/>
        <v/>
      </c>
      <c r="G150" s="49"/>
      <c r="H150" s="269" t="str">
        <f t="shared" si="19"/>
        <v/>
      </c>
      <c r="I150" s="269"/>
      <c r="J150" s="56"/>
      <c r="K150" s="57"/>
      <c r="L150" s="57"/>
      <c r="M150" s="51"/>
      <c r="N150" s="56"/>
      <c r="O150" s="51"/>
      <c r="P150" s="50"/>
    </row>
    <row r="151" spans="1:16" ht="15" customHeight="1">
      <c r="A151" s="48">
        <v>141</v>
      </c>
      <c r="B151" s="39" t="str">
        <f t="shared" si="16"/>
        <v/>
      </c>
      <c r="C151" s="51"/>
      <c r="D151" s="52" t="str">
        <f t="shared" si="17"/>
        <v/>
      </c>
      <c r="E151" s="47"/>
      <c r="F151" s="53" t="str">
        <f t="shared" si="18"/>
        <v/>
      </c>
      <c r="G151" s="49"/>
      <c r="H151" s="269" t="str">
        <f t="shared" si="19"/>
        <v/>
      </c>
      <c r="I151" s="269"/>
      <c r="J151" s="56"/>
      <c r="K151" s="57"/>
      <c r="L151" s="57"/>
      <c r="M151" s="51"/>
      <c r="N151" s="56"/>
      <c r="O151" s="51"/>
      <c r="P151" s="50"/>
    </row>
    <row r="152" spans="1:16" ht="15" customHeight="1">
      <c r="A152" s="13">
        <v>142</v>
      </c>
      <c r="B152" s="39" t="str">
        <f t="shared" si="16"/>
        <v/>
      </c>
      <c r="C152" s="51"/>
      <c r="D152" s="52" t="str">
        <f t="shared" si="17"/>
        <v/>
      </c>
      <c r="E152" s="47"/>
      <c r="F152" s="53" t="str">
        <f t="shared" si="18"/>
        <v/>
      </c>
      <c r="G152" s="49"/>
      <c r="H152" s="269" t="str">
        <f t="shared" si="19"/>
        <v/>
      </c>
      <c r="I152" s="269"/>
      <c r="J152" s="56"/>
      <c r="K152" s="57"/>
      <c r="L152" s="57"/>
      <c r="M152" s="51"/>
      <c r="N152" s="56"/>
      <c r="O152" s="51"/>
      <c r="P152" s="50"/>
    </row>
    <row r="153" spans="1:16" ht="15" customHeight="1">
      <c r="A153" s="48">
        <v>143</v>
      </c>
      <c r="B153" s="39" t="str">
        <f t="shared" si="16"/>
        <v/>
      </c>
      <c r="C153" s="51"/>
      <c r="D153" s="52" t="str">
        <f t="shared" si="17"/>
        <v/>
      </c>
      <c r="E153" s="47"/>
      <c r="F153" s="53" t="str">
        <f t="shared" si="18"/>
        <v/>
      </c>
      <c r="G153" s="49"/>
      <c r="H153" s="269" t="str">
        <f t="shared" si="19"/>
        <v/>
      </c>
      <c r="I153" s="269"/>
      <c r="J153" s="56"/>
      <c r="K153" s="57"/>
      <c r="L153" s="57"/>
      <c r="M153" s="51"/>
      <c r="N153" s="56"/>
      <c r="O153" s="51"/>
      <c r="P153" s="50"/>
    </row>
    <row r="154" spans="1:16" ht="15" customHeight="1">
      <c r="A154" s="13">
        <v>144</v>
      </c>
      <c r="B154" s="39" t="str">
        <f t="shared" si="16"/>
        <v/>
      </c>
      <c r="C154" s="51"/>
      <c r="D154" s="52" t="str">
        <f t="shared" si="17"/>
        <v/>
      </c>
      <c r="E154" s="47"/>
      <c r="F154" s="53" t="str">
        <f t="shared" si="18"/>
        <v/>
      </c>
      <c r="G154" s="49"/>
      <c r="H154" s="269" t="str">
        <f t="shared" si="19"/>
        <v/>
      </c>
      <c r="I154" s="269"/>
      <c r="J154" s="56"/>
      <c r="K154" s="57"/>
      <c r="L154" s="57"/>
      <c r="M154" s="51"/>
      <c r="N154" s="56"/>
      <c r="O154" s="51"/>
      <c r="P154" s="50"/>
    </row>
    <row r="155" spans="1:16" ht="15" customHeight="1">
      <c r="A155" s="48">
        <v>145</v>
      </c>
      <c r="B155" s="39" t="str">
        <f t="shared" si="16"/>
        <v/>
      </c>
      <c r="C155" s="51"/>
      <c r="D155" s="52" t="str">
        <f t="shared" si="17"/>
        <v/>
      </c>
      <c r="E155" s="47"/>
      <c r="F155" s="53" t="str">
        <f t="shared" si="18"/>
        <v/>
      </c>
      <c r="G155" s="49"/>
      <c r="H155" s="269" t="str">
        <f t="shared" si="19"/>
        <v/>
      </c>
      <c r="I155" s="269"/>
      <c r="J155" s="56"/>
      <c r="K155" s="57"/>
      <c r="L155" s="57"/>
      <c r="M155" s="51"/>
      <c r="N155" s="56"/>
      <c r="O155" s="51"/>
      <c r="P155" s="50"/>
    </row>
    <row r="156" spans="1:16" ht="15" customHeight="1">
      <c r="A156" s="13">
        <v>146</v>
      </c>
      <c r="B156" s="39" t="str">
        <f t="shared" si="16"/>
        <v/>
      </c>
      <c r="C156" s="51"/>
      <c r="D156" s="52" t="str">
        <f t="shared" si="17"/>
        <v/>
      </c>
      <c r="E156" s="47"/>
      <c r="F156" s="53" t="str">
        <f t="shared" si="18"/>
        <v/>
      </c>
      <c r="G156" s="49"/>
      <c r="H156" s="269" t="str">
        <f t="shared" si="19"/>
        <v/>
      </c>
      <c r="I156" s="269"/>
      <c r="J156" s="56"/>
      <c r="K156" s="57"/>
      <c r="L156" s="57"/>
      <c r="M156" s="51"/>
      <c r="N156" s="56"/>
      <c r="O156" s="51"/>
      <c r="P156" s="50"/>
    </row>
    <row r="157" spans="1:16" ht="15" customHeight="1">
      <c r="A157" s="48">
        <v>147</v>
      </c>
      <c r="B157" s="39" t="str">
        <f t="shared" si="16"/>
        <v/>
      </c>
      <c r="C157" s="51"/>
      <c r="D157" s="52" t="str">
        <f t="shared" si="17"/>
        <v/>
      </c>
      <c r="E157" s="47"/>
      <c r="F157" s="53" t="str">
        <f t="shared" si="18"/>
        <v/>
      </c>
      <c r="G157" s="49"/>
      <c r="H157" s="269" t="str">
        <f t="shared" si="19"/>
        <v/>
      </c>
      <c r="I157" s="269"/>
      <c r="J157" s="56"/>
      <c r="K157" s="57"/>
      <c r="L157" s="57"/>
      <c r="M157" s="51"/>
      <c r="N157" s="56"/>
      <c r="O157" s="51"/>
      <c r="P157" s="50"/>
    </row>
    <row r="158" spans="1:16" ht="15" customHeight="1">
      <c r="A158" s="13">
        <v>148</v>
      </c>
      <c r="B158" s="39" t="str">
        <f t="shared" si="16"/>
        <v/>
      </c>
      <c r="C158" s="51"/>
      <c r="D158" s="52" t="str">
        <f t="shared" si="17"/>
        <v/>
      </c>
      <c r="E158" s="47"/>
      <c r="F158" s="53" t="str">
        <f t="shared" si="18"/>
        <v/>
      </c>
      <c r="G158" s="49"/>
      <c r="H158" s="269" t="str">
        <f t="shared" si="19"/>
        <v/>
      </c>
      <c r="I158" s="269"/>
      <c r="J158" s="56"/>
      <c r="K158" s="57"/>
      <c r="L158" s="57"/>
      <c r="M158" s="51"/>
      <c r="N158" s="56"/>
      <c r="O158" s="51"/>
      <c r="P158" s="50"/>
    </row>
    <row r="159" spans="1:16" ht="15" customHeight="1">
      <c r="A159" s="48">
        <v>149</v>
      </c>
      <c r="B159" s="39" t="str">
        <f t="shared" si="16"/>
        <v/>
      </c>
      <c r="C159" s="51"/>
      <c r="D159" s="52" t="str">
        <f t="shared" si="17"/>
        <v/>
      </c>
      <c r="E159" s="47"/>
      <c r="F159" s="53" t="str">
        <f t="shared" si="18"/>
        <v/>
      </c>
      <c r="G159" s="49"/>
      <c r="H159" s="269" t="str">
        <f t="shared" si="19"/>
        <v/>
      </c>
      <c r="I159" s="269"/>
      <c r="J159" s="56"/>
      <c r="K159" s="57"/>
      <c r="L159" s="57"/>
      <c r="M159" s="51"/>
      <c r="N159" s="56"/>
      <c r="O159" s="51"/>
      <c r="P159" s="50"/>
    </row>
    <row r="160" spans="1:16" ht="15" customHeight="1">
      <c r="A160" s="13">
        <v>150</v>
      </c>
      <c r="B160" s="39" t="str">
        <f t="shared" si="16"/>
        <v/>
      </c>
      <c r="C160" s="51"/>
      <c r="D160" s="39" t="str">
        <f t="shared" si="17"/>
        <v/>
      </c>
      <c r="E160" s="47"/>
      <c r="F160" s="53" t="str">
        <f t="shared" si="18"/>
        <v/>
      </c>
      <c r="G160" s="49"/>
      <c r="H160" s="269" t="str">
        <f t="shared" si="19"/>
        <v/>
      </c>
      <c r="I160" s="269"/>
      <c r="J160" s="56"/>
      <c r="K160" s="57"/>
      <c r="L160" s="57"/>
      <c r="M160" s="51"/>
      <c r="N160" s="56"/>
      <c r="O160" s="51"/>
      <c r="P160" s="50"/>
    </row>
    <row r="161" spans="1:16" ht="15" customHeight="1">
      <c r="A161" s="48">
        <v>151</v>
      </c>
      <c r="B161" s="39" t="str">
        <f t="shared" si="16"/>
        <v/>
      </c>
      <c r="C161" s="51"/>
      <c r="D161" s="52" t="str">
        <f t="shared" si="17"/>
        <v/>
      </c>
      <c r="E161" s="47"/>
      <c r="F161" s="53" t="str">
        <f t="shared" si="18"/>
        <v/>
      </c>
      <c r="G161" s="49"/>
      <c r="H161" s="269" t="str">
        <f t="shared" si="19"/>
        <v/>
      </c>
      <c r="I161" s="269"/>
      <c r="J161" s="56"/>
      <c r="K161" s="57"/>
      <c r="L161" s="57"/>
      <c r="M161" s="51"/>
      <c r="N161" s="56"/>
      <c r="O161" s="51"/>
      <c r="P161" s="50"/>
    </row>
    <row r="162" spans="1:16" ht="15" customHeight="1">
      <c r="A162" s="13">
        <v>152</v>
      </c>
      <c r="B162" s="39" t="str">
        <f t="shared" si="16"/>
        <v/>
      </c>
      <c r="C162" s="51"/>
      <c r="D162" s="52" t="str">
        <f t="shared" si="17"/>
        <v/>
      </c>
      <c r="E162" s="47"/>
      <c r="F162" s="53" t="str">
        <f t="shared" si="18"/>
        <v/>
      </c>
      <c r="G162" s="49"/>
      <c r="H162" s="269" t="str">
        <f t="shared" si="19"/>
        <v/>
      </c>
      <c r="I162" s="269"/>
      <c r="J162" s="56"/>
      <c r="K162" s="57"/>
      <c r="L162" s="57"/>
      <c r="M162" s="51"/>
      <c r="N162" s="56"/>
      <c r="O162" s="51"/>
      <c r="P162" s="50"/>
    </row>
    <row r="163" spans="1:16" ht="15" customHeight="1">
      <c r="A163" s="48">
        <v>153</v>
      </c>
      <c r="B163" s="39" t="str">
        <f t="shared" si="16"/>
        <v/>
      </c>
      <c r="C163" s="51"/>
      <c r="D163" s="52" t="str">
        <f t="shared" si="17"/>
        <v/>
      </c>
      <c r="E163" s="47"/>
      <c r="F163" s="53" t="str">
        <f t="shared" si="18"/>
        <v/>
      </c>
      <c r="G163" s="49"/>
      <c r="H163" s="269" t="str">
        <f t="shared" si="19"/>
        <v/>
      </c>
      <c r="I163" s="269"/>
      <c r="J163" s="56"/>
      <c r="K163" s="57"/>
      <c r="L163" s="57"/>
      <c r="M163" s="51"/>
      <c r="N163" s="56"/>
      <c r="O163" s="51"/>
      <c r="P163" s="50"/>
    </row>
    <row r="164" spans="1:16" ht="15" customHeight="1">
      <c r="A164" s="13">
        <v>154</v>
      </c>
      <c r="B164" s="39" t="str">
        <f t="shared" si="16"/>
        <v/>
      </c>
      <c r="C164" s="51"/>
      <c r="D164" s="52" t="str">
        <f t="shared" si="17"/>
        <v/>
      </c>
      <c r="E164" s="47"/>
      <c r="F164" s="53" t="str">
        <f t="shared" si="18"/>
        <v/>
      </c>
      <c r="G164" s="49"/>
      <c r="H164" s="269" t="str">
        <f t="shared" si="19"/>
        <v/>
      </c>
      <c r="I164" s="269"/>
      <c r="J164" s="56"/>
      <c r="K164" s="57"/>
      <c r="L164" s="57"/>
      <c r="M164" s="51"/>
      <c r="N164" s="56"/>
      <c r="O164" s="51"/>
      <c r="P164" s="50"/>
    </row>
    <row r="165" spans="1:16" ht="15" customHeight="1">
      <c r="A165" s="48">
        <v>155</v>
      </c>
      <c r="B165" s="39" t="str">
        <f t="shared" si="16"/>
        <v/>
      </c>
      <c r="C165" s="51"/>
      <c r="D165" s="52" t="str">
        <f t="shared" si="17"/>
        <v/>
      </c>
      <c r="E165" s="47"/>
      <c r="F165" s="53" t="str">
        <f t="shared" si="18"/>
        <v/>
      </c>
      <c r="G165" s="49"/>
      <c r="H165" s="269" t="str">
        <f t="shared" si="19"/>
        <v/>
      </c>
      <c r="I165" s="269"/>
      <c r="J165" s="56"/>
      <c r="K165" s="57"/>
      <c r="L165" s="57"/>
      <c r="M165" s="51"/>
      <c r="N165" s="56"/>
      <c r="O165" s="51"/>
      <c r="P165" s="50"/>
    </row>
    <row r="166" spans="1:16" ht="15" customHeight="1">
      <c r="A166" s="13">
        <v>156</v>
      </c>
      <c r="B166" s="39" t="str">
        <f t="shared" si="16"/>
        <v/>
      </c>
      <c r="C166" s="51"/>
      <c r="D166" s="52" t="str">
        <f t="shared" si="17"/>
        <v/>
      </c>
      <c r="E166" s="47"/>
      <c r="F166" s="53" t="str">
        <f t="shared" si="18"/>
        <v/>
      </c>
      <c r="G166" s="49"/>
      <c r="H166" s="269" t="str">
        <f t="shared" si="19"/>
        <v/>
      </c>
      <c r="I166" s="269"/>
      <c r="J166" s="56"/>
      <c r="K166" s="57"/>
      <c r="L166" s="57"/>
      <c r="M166" s="51"/>
      <c r="N166" s="56"/>
      <c r="O166" s="51"/>
      <c r="P166" s="50"/>
    </row>
    <row r="167" spans="1:16" ht="15" customHeight="1">
      <c r="A167" s="48">
        <v>157</v>
      </c>
      <c r="B167" s="39" t="str">
        <f t="shared" si="16"/>
        <v/>
      </c>
      <c r="C167" s="51"/>
      <c r="D167" s="52" t="str">
        <f t="shared" si="17"/>
        <v/>
      </c>
      <c r="E167" s="47"/>
      <c r="F167" s="53" t="str">
        <f t="shared" si="18"/>
        <v/>
      </c>
      <c r="G167" s="49"/>
      <c r="H167" s="269" t="str">
        <f t="shared" si="19"/>
        <v/>
      </c>
      <c r="I167" s="269"/>
      <c r="J167" s="56"/>
      <c r="K167" s="57"/>
      <c r="L167" s="57"/>
      <c r="M167" s="51"/>
      <c r="N167" s="56"/>
      <c r="O167" s="51"/>
      <c r="P167" s="50"/>
    </row>
    <row r="168" spans="1:16" ht="15" customHeight="1">
      <c r="A168" s="13">
        <v>158</v>
      </c>
      <c r="B168" s="39" t="str">
        <f t="shared" si="16"/>
        <v/>
      </c>
      <c r="C168" s="51"/>
      <c r="D168" s="52" t="str">
        <f t="shared" si="17"/>
        <v/>
      </c>
      <c r="E168" s="47"/>
      <c r="F168" s="53" t="str">
        <f t="shared" si="18"/>
        <v/>
      </c>
      <c r="G168" s="49"/>
      <c r="H168" s="269" t="str">
        <f t="shared" si="19"/>
        <v/>
      </c>
      <c r="I168" s="269"/>
      <c r="J168" s="56"/>
      <c r="K168" s="57"/>
      <c r="L168" s="57"/>
      <c r="M168" s="51"/>
      <c r="N168" s="56"/>
      <c r="O168" s="51"/>
      <c r="P168" s="50"/>
    </row>
    <row r="169" spans="1:16" ht="15" customHeight="1">
      <c r="A169" s="48">
        <v>159</v>
      </c>
      <c r="B169" s="39" t="str">
        <f t="shared" si="16"/>
        <v/>
      </c>
      <c r="C169" s="51"/>
      <c r="D169" s="52" t="str">
        <f t="shared" si="17"/>
        <v/>
      </c>
      <c r="E169" s="47"/>
      <c r="F169" s="53" t="str">
        <f t="shared" si="18"/>
        <v/>
      </c>
      <c r="G169" s="49"/>
      <c r="H169" s="269" t="str">
        <f t="shared" si="19"/>
        <v/>
      </c>
      <c r="I169" s="269"/>
      <c r="J169" s="56"/>
      <c r="K169" s="57"/>
      <c r="L169" s="57"/>
      <c r="M169" s="51"/>
      <c r="N169" s="56"/>
      <c r="O169" s="51"/>
      <c r="P169" s="50"/>
    </row>
    <row r="170" spans="1:16" ht="15" customHeight="1">
      <c r="A170" s="13">
        <v>160</v>
      </c>
      <c r="B170" s="39" t="str">
        <f t="shared" si="16"/>
        <v/>
      </c>
      <c r="C170" s="51"/>
      <c r="D170" s="52" t="str">
        <f t="shared" si="17"/>
        <v/>
      </c>
      <c r="E170" s="47"/>
      <c r="F170" s="53" t="str">
        <f t="shared" si="18"/>
        <v/>
      </c>
      <c r="G170" s="49"/>
      <c r="H170" s="269" t="str">
        <f t="shared" si="19"/>
        <v/>
      </c>
      <c r="I170" s="269"/>
      <c r="J170" s="56"/>
      <c r="K170" s="57"/>
      <c r="L170" s="57"/>
      <c r="M170" s="51"/>
      <c r="N170" s="56"/>
      <c r="O170" s="51"/>
      <c r="P170" s="50"/>
    </row>
    <row r="171" spans="1:16" ht="15" customHeight="1">
      <c r="A171" s="48">
        <v>161</v>
      </c>
      <c r="B171" s="39" t="str">
        <f t="shared" ref="B171:B180" si="20">IF(IF(ISNA(VLOOKUP(A171,Entrants,4,FALSE)),"",VLOOKUP(A171,Entrants,4,FALSE))="","",IF(ISNA(VLOOKUP(A171,Entrants,4,FALSE)),"",VLOOKUP(A171,Entrants,4,FALSE)))</f>
        <v/>
      </c>
      <c r="C171" s="51"/>
      <c r="D171" s="52" t="str">
        <f t="shared" ref="D171:D180" si="21">IF(IF(ISNA(VLOOKUP(A171,Entrants,5,FALSE)),"",VLOOKUP(A171,Entrants,5,FALSE))=0,"",IF(ISNA(VLOOKUP(A171,Entrants,5,FALSE)),"",VLOOKUP(A171,Entrants,5,FALSE)))</f>
        <v/>
      </c>
      <c r="E171" s="47"/>
      <c r="F171" s="53" t="str">
        <f t="shared" ref="F171:F180" si="22">IF(IF(ISNA(VLOOKUP(A171,Entrants,6,FALSE)),"",VLOOKUP(A171,Entrants,6,FALSE))=0,"",IF(ISNA(VLOOKUP(A171,Entrants,6,FALSE)),"",VLOOKUP(A171,Entrants,6,FALSE)))</f>
        <v/>
      </c>
      <c r="G171" s="49"/>
      <c r="H171" s="269" t="str">
        <f t="shared" ref="H171:H180" si="23">IF(IF(ISNA(VLOOKUP(A171,Entrants,7,FALSE)),"",VLOOKUP(A171,Entrants,7,FALSE))=0,"",IF(ISNA(VLOOKUP(A171,Entrants,7,FALSE)),"",VLOOKUP(A171,Entrants,7,FALSE)))</f>
        <v/>
      </c>
      <c r="I171" s="269"/>
      <c r="J171" s="56"/>
      <c r="K171" s="57"/>
      <c r="L171" s="57"/>
      <c r="M171" s="51"/>
      <c r="N171" s="56"/>
      <c r="O171" s="51"/>
      <c r="P171" s="50"/>
    </row>
    <row r="172" spans="1:16" ht="15" customHeight="1">
      <c r="A172" s="13">
        <v>162</v>
      </c>
      <c r="B172" s="39" t="str">
        <f t="shared" si="20"/>
        <v/>
      </c>
      <c r="C172" s="51"/>
      <c r="D172" s="52" t="str">
        <f t="shared" si="21"/>
        <v/>
      </c>
      <c r="E172" s="47"/>
      <c r="F172" s="53" t="str">
        <f t="shared" si="22"/>
        <v/>
      </c>
      <c r="G172" s="49"/>
      <c r="H172" s="269" t="str">
        <f t="shared" si="23"/>
        <v/>
      </c>
      <c r="I172" s="269"/>
      <c r="J172" s="56"/>
      <c r="K172" s="57"/>
      <c r="L172" s="57"/>
      <c r="M172" s="51"/>
      <c r="N172" s="56"/>
      <c r="O172" s="51"/>
      <c r="P172" s="50"/>
    </row>
    <row r="173" spans="1:16" ht="15" customHeight="1">
      <c r="A173" s="48">
        <v>163</v>
      </c>
      <c r="B173" s="39" t="str">
        <f t="shared" si="20"/>
        <v/>
      </c>
      <c r="C173" s="51"/>
      <c r="D173" s="52" t="str">
        <f t="shared" si="21"/>
        <v/>
      </c>
      <c r="E173" s="47"/>
      <c r="F173" s="53" t="str">
        <f t="shared" si="22"/>
        <v/>
      </c>
      <c r="G173" s="49"/>
      <c r="H173" s="269" t="str">
        <f t="shared" si="23"/>
        <v/>
      </c>
      <c r="I173" s="269"/>
      <c r="J173" s="56"/>
      <c r="K173" s="57"/>
      <c r="L173" s="57"/>
      <c r="M173" s="51"/>
      <c r="N173" s="56"/>
      <c r="O173" s="51"/>
      <c r="P173" s="50"/>
    </row>
    <row r="174" spans="1:16" ht="15" customHeight="1">
      <c r="A174" s="13">
        <v>164</v>
      </c>
      <c r="B174" s="39" t="str">
        <f t="shared" si="20"/>
        <v/>
      </c>
      <c r="C174" s="51"/>
      <c r="D174" s="52" t="str">
        <f t="shared" si="21"/>
        <v/>
      </c>
      <c r="E174" s="47"/>
      <c r="F174" s="53" t="str">
        <f t="shared" si="22"/>
        <v/>
      </c>
      <c r="G174" s="49"/>
      <c r="H174" s="269" t="str">
        <f t="shared" si="23"/>
        <v/>
      </c>
      <c r="I174" s="269"/>
      <c r="J174" s="56"/>
      <c r="K174" s="57"/>
      <c r="L174" s="57"/>
      <c r="M174" s="51"/>
      <c r="N174" s="56"/>
      <c r="O174" s="51"/>
      <c r="P174" s="50"/>
    </row>
    <row r="175" spans="1:16" ht="15" customHeight="1">
      <c r="A175" s="48">
        <v>165</v>
      </c>
      <c r="B175" s="39" t="str">
        <f t="shared" si="20"/>
        <v/>
      </c>
      <c r="C175" s="51"/>
      <c r="D175" s="52" t="str">
        <f t="shared" si="21"/>
        <v/>
      </c>
      <c r="E175" s="47"/>
      <c r="F175" s="53" t="str">
        <f t="shared" si="22"/>
        <v/>
      </c>
      <c r="G175" s="49"/>
      <c r="H175" s="269" t="str">
        <f t="shared" si="23"/>
        <v/>
      </c>
      <c r="I175" s="269"/>
      <c r="J175" s="56"/>
      <c r="K175" s="57"/>
      <c r="L175" s="57"/>
      <c r="M175" s="51"/>
      <c r="N175" s="56"/>
      <c r="O175" s="51"/>
      <c r="P175" s="50"/>
    </row>
    <row r="176" spans="1:16" ht="15" customHeight="1">
      <c r="A176" s="13">
        <v>166</v>
      </c>
      <c r="B176" s="39" t="str">
        <f t="shared" si="20"/>
        <v/>
      </c>
      <c r="C176" s="51"/>
      <c r="D176" s="52" t="str">
        <f t="shared" si="21"/>
        <v/>
      </c>
      <c r="E176" s="47"/>
      <c r="F176" s="53" t="str">
        <f t="shared" si="22"/>
        <v/>
      </c>
      <c r="G176" s="49"/>
      <c r="H176" s="269" t="str">
        <f t="shared" si="23"/>
        <v/>
      </c>
      <c r="I176" s="269"/>
      <c r="J176" s="56"/>
      <c r="K176" s="57"/>
      <c r="L176" s="57"/>
      <c r="M176" s="51"/>
      <c r="N176" s="56"/>
      <c r="O176" s="51"/>
      <c r="P176" s="50"/>
    </row>
    <row r="177" spans="1:16" ht="15" customHeight="1">
      <c r="A177" s="48">
        <v>167</v>
      </c>
      <c r="B177" s="39" t="str">
        <f t="shared" si="20"/>
        <v/>
      </c>
      <c r="C177" s="51"/>
      <c r="D177" s="52" t="str">
        <f t="shared" si="21"/>
        <v/>
      </c>
      <c r="E177" s="47"/>
      <c r="F177" s="53" t="str">
        <f t="shared" si="22"/>
        <v/>
      </c>
      <c r="G177" s="49"/>
      <c r="H177" s="269" t="str">
        <f t="shared" si="23"/>
        <v/>
      </c>
      <c r="I177" s="269"/>
      <c r="J177" s="56"/>
      <c r="K177" s="57"/>
      <c r="L177" s="57"/>
      <c r="M177" s="51"/>
      <c r="N177" s="56"/>
      <c r="O177" s="51"/>
      <c r="P177" s="50"/>
    </row>
    <row r="178" spans="1:16" ht="15" customHeight="1">
      <c r="A178" s="13">
        <v>168</v>
      </c>
      <c r="B178" s="39" t="str">
        <f t="shared" si="20"/>
        <v/>
      </c>
      <c r="C178" s="51"/>
      <c r="D178" s="52" t="str">
        <f t="shared" si="21"/>
        <v/>
      </c>
      <c r="E178" s="47"/>
      <c r="F178" s="53" t="str">
        <f t="shared" si="22"/>
        <v/>
      </c>
      <c r="G178" s="49"/>
      <c r="H178" s="269" t="str">
        <f t="shared" si="23"/>
        <v/>
      </c>
      <c r="I178" s="269"/>
      <c r="J178" s="56"/>
      <c r="K178" s="57"/>
      <c r="L178" s="57"/>
      <c r="M178" s="51"/>
      <c r="N178" s="56"/>
      <c r="O178" s="51"/>
      <c r="P178" s="50"/>
    </row>
    <row r="179" spans="1:16" ht="15" customHeight="1">
      <c r="A179" s="48">
        <v>169</v>
      </c>
      <c r="B179" s="200" t="str">
        <f t="shared" si="20"/>
        <v/>
      </c>
      <c r="C179" s="201"/>
      <c r="D179" s="202" t="str">
        <f t="shared" si="21"/>
        <v/>
      </c>
      <c r="E179" s="203"/>
      <c r="F179" s="204" t="str">
        <f t="shared" si="22"/>
        <v/>
      </c>
      <c r="G179" s="205"/>
      <c r="H179" s="301" t="str">
        <f t="shared" si="23"/>
        <v/>
      </c>
      <c r="I179" s="301"/>
      <c r="J179" s="56"/>
      <c r="K179" s="57"/>
      <c r="L179" s="57"/>
      <c r="M179" s="51"/>
      <c r="N179" s="206"/>
      <c r="O179" s="201"/>
      <c r="P179" s="207"/>
    </row>
    <row r="180" spans="1:16" ht="15" customHeight="1">
      <c r="A180" s="13">
        <v>170</v>
      </c>
      <c r="B180" s="15" t="str">
        <f t="shared" si="20"/>
        <v/>
      </c>
      <c r="C180" s="49"/>
      <c r="D180" s="15" t="str">
        <f t="shared" si="21"/>
        <v/>
      </c>
      <c r="E180" s="196"/>
      <c r="F180" s="199" t="str">
        <f t="shared" si="22"/>
        <v/>
      </c>
      <c r="G180" s="49"/>
      <c r="H180" s="267" t="str">
        <f t="shared" si="23"/>
        <v/>
      </c>
      <c r="I180" s="267"/>
      <c r="J180" s="56"/>
      <c r="K180" s="57"/>
      <c r="L180" s="57"/>
      <c r="M180" s="51"/>
      <c r="N180" s="56"/>
      <c r="O180" s="51"/>
      <c r="P180" s="50"/>
    </row>
    <row r="181" spans="1:16" ht="15" customHeight="1">
      <c r="A181" s="48">
        <v>171</v>
      </c>
      <c r="B181" s="39" t="str">
        <f t="shared" ref="B181:B201" si="24">IF(IF(ISNA(VLOOKUP(A181,Entrants,4,FALSE)),"",VLOOKUP(A181,Entrants,4,FALSE))="","",IF(ISNA(VLOOKUP(A181,Entrants,4,FALSE)),"",VLOOKUP(A181,Entrants,4,FALSE)))</f>
        <v/>
      </c>
      <c r="C181" s="51"/>
      <c r="D181" s="15" t="str">
        <f t="shared" ref="D181:D201" si="25">IF(IF(ISNA(VLOOKUP(A181,Entrants,5,FALSE)),"",VLOOKUP(A181,Entrants,5,FALSE))=0,"",IF(ISNA(VLOOKUP(A181,Entrants,5,FALSE)),"",VLOOKUP(A181,Entrants,5,FALSE)))</f>
        <v/>
      </c>
      <c r="E181" s="196"/>
      <c r="F181" s="199" t="str">
        <f t="shared" ref="F181:F201" si="26">IF(IF(ISNA(VLOOKUP(A181,Entrants,6,FALSE)),"",VLOOKUP(A181,Entrants,6,FALSE))=0,"",IF(ISNA(VLOOKUP(A181,Entrants,6,FALSE)),"",VLOOKUP(A181,Entrants,6,FALSE)))</f>
        <v/>
      </c>
      <c r="G181" s="49"/>
      <c r="H181" s="267" t="str">
        <f t="shared" ref="H181:H201" si="27">IF(IF(ISNA(VLOOKUP(A181,Entrants,7,FALSE)),"",VLOOKUP(A181,Entrants,7,FALSE))=0,"",IF(ISNA(VLOOKUP(A181,Entrants,7,FALSE)),"",VLOOKUP(A181,Entrants,7,FALSE)))</f>
        <v/>
      </c>
      <c r="I181" s="267"/>
      <c r="J181" s="56"/>
      <c r="K181" s="57"/>
      <c r="L181" s="57"/>
      <c r="M181" s="51"/>
      <c r="N181" s="56"/>
      <c r="O181" s="51"/>
      <c r="P181" s="50"/>
    </row>
    <row r="182" spans="1:16" ht="15" customHeight="1">
      <c r="A182" s="13">
        <v>172</v>
      </c>
      <c r="B182" s="39" t="str">
        <f t="shared" si="24"/>
        <v/>
      </c>
      <c r="C182" s="51"/>
      <c r="D182" s="15" t="str">
        <f t="shared" si="25"/>
        <v/>
      </c>
      <c r="E182" s="196"/>
      <c r="F182" s="199" t="str">
        <f t="shared" si="26"/>
        <v/>
      </c>
      <c r="G182" s="49"/>
      <c r="H182" s="267" t="str">
        <f t="shared" si="27"/>
        <v/>
      </c>
      <c r="I182" s="267"/>
      <c r="J182" s="56"/>
      <c r="K182" s="57"/>
      <c r="L182" s="57"/>
      <c r="M182" s="51"/>
      <c r="N182" s="56"/>
      <c r="O182" s="51"/>
      <c r="P182" s="50"/>
    </row>
    <row r="183" spans="1:16" ht="15" customHeight="1">
      <c r="A183" s="48">
        <v>173</v>
      </c>
      <c r="B183" s="39" t="str">
        <f t="shared" si="24"/>
        <v/>
      </c>
      <c r="C183" s="51"/>
      <c r="D183" s="15" t="str">
        <f t="shared" si="25"/>
        <v/>
      </c>
      <c r="E183" s="196"/>
      <c r="F183" s="199" t="str">
        <f t="shared" si="26"/>
        <v/>
      </c>
      <c r="G183" s="49"/>
      <c r="H183" s="267" t="str">
        <f t="shared" si="27"/>
        <v/>
      </c>
      <c r="I183" s="267"/>
      <c r="J183" s="56"/>
      <c r="K183" s="57"/>
      <c r="L183" s="57"/>
      <c r="M183" s="51"/>
      <c r="N183" s="56"/>
      <c r="O183" s="51"/>
      <c r="P183" s="50"/>
    </row>
    <row r="184" spans="1:16" ht="15" customHeight="1">
      <c r="A184" s="13">
        <v>174</v>
      </c>
      <c r="B184" s="39" t="str">
        <f t="shared" si="24"/>
        <v/>
      </c>
      <c r="C184" s="51"/>
      <c r="D184" s="15" t="str">
        <f t="shared" si="25"/>
        <v/>
      </c>
      <c r="E184" s="196"/>
      <c r="F184" s="199" t="str">
        <f t="shared" si="26"/>
        <v/>
      </c>
      <c r="G184" s="49"/>
      <c r="H184" s="267" t="str">
        <f t="shared" si="27"/>
        <v/>
      </c>
      <c r="I184" s="267"/>
      <c r="J184" s="56"/>
      <c r="K184" s="57"/>
      <c r="L184" s="57"/>
      <c r="M184" s="51"/>
      <c r="N184" s="56"/>
      <c r="O184" s="51"/>
      <c r="P184" s="50"/>
    </row>
    <row r="185" spans="1:16" ht="15" customHeight="1">
      <c r="A185" s="48">
        <v>175</v>
      </c>
      <c r="B185" s="39" t="str">
        <f t="shared" si="24"/>
        <v/>
      </c>
      <c r="C185" s="51"/>
      <c r="D185" s="15" t="str">
        <f t="shared" si="25"/>
        <v/>
      </c>
      <c r="E185" s="196"/>
      <c r="F185" s="199" t="str">
        <f t="shared" si="26"/>
        <v/>
      </c>
      <c r="G185" s="49"/>
      <c r="H185" s="267" t="str">
        <f t="shared" si="27"/>
        <v/>
      </c>
      <c r="I185" s="267"/>
      <c r="J185" s="56"/>
      <c r="K185" s="57"/>
      <c r="L185" s="57"/>
      <c r="M185" s="51"/>
      <c r="N185" s="56"/>
      <c r="O185" s="51"/>
      <c r="P185" s="50"/>
    </row>
    <row r="186" spans="1:16" ht="15" customHeight="1">
      <c r="A186" s="13">
        <v>176</v>
      </c>
      <c r="B186" s="39" t="str">
        <f t="shared" si="24"/>
        <v/>
      </c>
      <c r="C186" s="51"/>
      <c r="D186" s="15" t="str">
        <f t="shared" si="25"/>
        <v/>
      </c>
      <c r="E186" s="196"/>
      <c r="F186" s="199" t="str">
        <f t="shared" si="26"/>
        <v/>
      </c>
      <c r="G186" s="49"/>
      <c r="H186" s="267" t="str">
        <f t="shared" si="27"/>
        <v/>
      </c>
      <c r="I186" s="267"/>
      <c r="J186" s="56"/>
      <c r="K186" s="57"/>
      <c r="L186" s="57"/>
      <c r="M186" s="51"/>
      <c r="N186" s="56"/>
      <c r="O186" s="51"/>
      <c r="P186" s="50"/>
    </row>
    <row r="187" spans="1:16" ht="15" customHeight="1">
      <c r="A187" s="48">
        <v>177</v>
      </c>
      <c r="B187" s="39" t="str">
        <f t="shared" si="24"/>
        <v/>
      </c>
      <c r="C187" s="51"/>
      <c r="D187" s="15" t="str">
        <f t="shared" si="25"/>
        <v/>
      </c>
      <c r="E187" s="196"/>
      <c r="F187" s="199" t="str">
        <f t="shared" si="26"/>
        <v/>
      </c>
      <c r="G187" s="49"/>
      <c r="H187" s="267" t="str">
        <f t="shared" si="27"/>
        <v/>
      </c>
      <c r="I187" s="267"/>
      <c r="J187" s="56"/>
      <c r="K187" s="57"/>
      <c r="L187" s="57"/>
      <c r="M187" s="51"/>
      <c r="N187" s="56"/>
      <c r="O187" s="51"/>
      <c r="P187" s="50"/>
    </row>
    <row r="188" spans="1:16" ht="15" customHeight="1">
      <c r="A188" s="13">
        <v>178</v>
      </c>
      <c r="B188" s="39" t="str">
        <f t="shared" si="24"/>
        <v/>
      </c>
      <c r="C188" s="51"/>
      <c r="D188" s="15" t="str">
        <f t="shared" si="25"/>
        <v/>
      </c>
      <c r="E188" s="196"/>
      <c r="F188" s="199" t="str">
        <f t="shared" si="26"/>
        <v/>
      </c>
      <c r="G188" s="49"/>
      <c r="H188" s="267" t="str">
        <f t="shared" si="27"/>
        <v/>
      </c>
      <c r="I188" s="267"/>
      <c r="J188" s="56"/>
      <c r="K188" s="57"/>
      <c r="L188" s="57"/>
      <c r="M188" s="51"/>
      <c r="N188" s="56"/>
      <c r="O188" s="51"/>
      <c r="P188" s="50"/>
    </row>
    <row r="189" spans="1:16" ht="15" customHeight="1">
      <c r="A189" s="48">
        <v>179</v>
      </c>
      <c r="B189" s="39" t="str">
        <f t="shared" si="24"/>
        <v/>
      </c>
      <c r="C189" s="51"/>
      <c r="D189" s="15" t="str">
        <f t="shared" si="25"/>
        <v/>
      </c>
      <c r="E189" s="196"/>
      <c r="F189" s="199" t="str">
        <f t="shared" si="26"/>
        <v/>
      </c>
      <c r="G189" s="49"/>
      <c r="H189" s="267" t="str">
        <f t="shared" si="27"/>
        <v/>
      </c>
      <c r="I189" s="267"/>
      <c r="J189" s="56"/>
      <c r="K189" s="57"/>
      <c r="L189" s="57"/>
      <c r="M189" s="51"/>
      <c r="N189" s="56"/>
      <c r="O189" s="51"/>
      <c r="P189" s="50"/>
    </row>
    <row r="190" spans="1:16" ht="15" customHeight="1">
      <c r="A190" s="13">
        <v>180</v>
      </c>
      <c r="B190" s="39" t="str">
        <f t="shared" si="24"/>
        <v/>
      </c>
      <c r="C190" s="51"/>
      <c r="D190" s="15" t="str">
        <f t="shared" si="25"/>
        <v/>
      </c>
      <c r="E190" s="196"/>
      <c r="F190" s="199" t="str">
        <f t="shared" si="26"/>
        <v/>
      </c>
      <c r="G190" s="49"/>
      <c r="H190" s="267" t="str">
        <f t="shared" si="27"/>
        <v/>
      </c>
      <c r="I190" s="267"/>
      <c r="J190" s="56"/>
      <c r="K190" s="57"/>
      <c r="L190" s="57"/>
      <c r="M190" s="51"/>
      <c r="N190" s="56"/>
      <c r="O190" s="51"/>
      <c r="P190" s="50"/>
    </row>
    <row r="191" spans="1:16" ht="15" customHeight="1">
      <c r="A191" s="48">
        <v>181</v>
      </c>
      <c r="B191" s="39" t="str">
        <f t="shared" si="24"/>
        <v/>
      </c>
      <c r="C191" s="51"/>
      <c r="D191" s="15" t="str">
        <f t="shared" si="25"/>
        <v/>
      </c>
      <c r="E191" s="196"/>
      <c r="F191" s="199" t="str">
        <f t="shared" si="26"/>
        <v/>
      </c>
      <c r="G191" s="49"/>
      <c r="H191" s="267" t="str">
        <f t="shared" si="27"/>
        <v/>
      </c>
      <c r="I191" s="267"/>
      <c r="J191" s="56"/>
      <c r="K191" s="57"/>
      <c r="L191" s="57"/>
      <c r="M191" s="51"/>
      <c r="N191" s="56"/>
      <c r="O191" s="51"/>
      <c r="P191" s="50"/>
    </row>
    <row r="192" spans="1:16" ht="15" customHeight="1">
      <c r="A192" s="13">
        <v>182</v>
      </c>
      <c r="B192" s="39" t="str">
        <f t="shared" si="24"/>
        <v/>
      </c>
      <c r="C192" s="51"/>
      <c r="D192" s="15" t="str">
        <f t="shared" si="25"/>
        <v/>
      </c>
      <c r="E192" s="196"/>
      <c r="F192" s="199" t="str">
        <f t="shared" si="26"/>
        <v/>
      </c>
      <c r="G192" s="49"/>
      <c r="H192" s="267" t="str">
        <f t="shared" si="27"/>
        <v/>
      </c>
      <c r="I192" s="267"/>
      <c r="J192" s="56"/>
      <c r="K192" s="57"/>
      <c r="L192" s="57"/>
      <c r="M192" s="51"/>
      <c r="N192" s="56"/>
      <c r="O192" s="51"/>
      <c r="P192" s="50"/>
    </row>
    <row r="193" spans="1:16" ht="15" customHeight="1">
      <c r="A193" s="48">
        <v>183</v>
      </c>
      <c r="B193" s="39" t="str">
        <f t="shared" si="24"/>
        <v/>
      </c>
      <c r="C193" s="51"/>
      <c r="D193" s="15" t="str">
        <f t="shared" si="25"/>
        <v/>
      </c>
      <c r="E193" s="196"/>
      <c r="F193" s="199" t="str">
        <f t="shared" si="26"/>
        <v/>
      </c>
      <c r="G193" s="49"/>
      <c r="H193" s="267" t="str">
        <f t="shared" si="27"/>
        <v/>
      </c>
      <c r="I193" s="267"/>
      <c r="J193" s="56"/>
      <c r="K193" s="57"/>
      <c r="L193" s="57"/>
      <c r="M193" s="51"/>
      <c r="N193" s="56"/>
      <c r="O193" s="51"/>
      <c r="P193" s="50"/>
    </row>
    <row r="194" spans="1:16" ht="15" customHeight="1">
      <c r="A194" s="13">
        <v>184</v>
      </c>
      <c r="B194" s="39" t="str">
        <f t="shared" si="24"/>
        <v/>
      </c>
      <c r="C194" s="51"/>
      <c r="D194" s="15" t="str">
        <f t="shared" si="25"/>
        <v/>
      </c>
      <c r="E194" s="196"/>
      <c r="F194" s="199" t="str">
        <f t="shared" si="26"/>
        <v/>
      </c>
      <c r="G194" s="49"/>
      <c r="H194" s="267" t="str">
        <f t="shared" si="27"/>
        <v/>
      </c>
      <c r="I194" s="267"/>
      <c r="J194" s="56"/>
      <c r="K194" s="57"/>
      <c r="L194" s="57"/>
      <c r="M194" s="51"/>
      <c r="N194" s="56"/>
      <c r="O194" s="51"/>
      <c r="P194" s="50"/>
    </row>
    <row r="195" spans="1:16" ht="15" customHeight="1">
      <c r="A195" s="48">
        <v>185</v>
      </c>
      <c r="B195" s="39" t="str">
        <f t="shared" si="24"/>
        <v/>
      </c>
      <c r="C195" s="51"/>
      <c r="D195" s="15" t="str">
        <f t="shared" si="25"/>
        <v/>
      </c>
      <c r="E195" s="196"/>
      <c r="F195" s="199" t="str">
        <f t="shared" si="26"/>
        <v/>
      </c>
      <c r="G195" s="49"/>
      <c r="H195" s="267" t="str">
        <f t="shared" si="27"/>
        <v/>
      </c>
      <c r="I195" s="267"/>
      <c r="J195" s="56"/>
      <c r="K195" s="57"/>
      <c r="L195" s="57"/>
      <c r="M195" s="51"/>
      <c r="N195" s="56"/>
      <c r="O195" s="51"/>
      <c r="P195" s="50"/>
    </row>
    <row r="196" spans="1:16" ht="15" customHeight="1">
      <c r="A196" s="13">
        <v>186</v>
      </c>
      <c r="B196" s="39" t="str">
        <f t="shared" si="24"/>
        <v/>
      </c>
      <c r="C196" s="51"/>
      <c r="D196" s="15" t="str">
        <f t="shared" si="25"/>
        <v/>
      </c>
      <c r="E196" s="196"/>
      <c r="F196" s="199" t="str">
        <f t="shared" si="26"/>
        <v/>
      </c>
      <c r="G196" s="49"/>
      <c r="H196" s="267" t="str">
        <f t="shared" si="27"/>
        <v/>
      </c>
      <c r="I196" s="267"/>
      <c r="J196" s="56"/>
      <c r="K196" s="57"/>
      <c r="L196" s="57"/>
      <c r="M196" s="51"/>
      <c r="N196" s="56"/>
      <c r="O196" s="51"/>
      <c r="P196" s="50"/>
    </row>
    <row r="197" spans="1:16" ht="15" customHeight="1">
      <c r="A197" s="48">
        <v>187</v>
      </c>
      <c r="B197" s="39" t="str">
        <f t="shared" si="24"/>
        <v/>
      </c>
      <c r="C197" s="51"/>
      <c r="D197" s="15" t="str">
        <f t="shared" si="25"/>
        <v/>
      </c>
      <c r="E197" s="196"/>
      <c r="F197" s="199" t="str">
        <f t="shared" si="26"/>
        <v/>
      </c>
      <c r="G197" s="49"/>
      <c r="H197" s="267" t="str">
        <f t="shared" si="27"/>
        <v/>
      </c>
      <c r="I197" s="267"/>
      <c r="J197" s="56"/>
      <c r="K197" s="57"/>
      <c r="L197" s="57"/>
      <c r="M197" s="51"/>
      <c r="N197" s="56"/>
      <c r="O197" s="51"/>
      <c r="P197" s="50"/>
    </row>
    <row r="198" spans="1:16" ht="15" customHeight="1">
      <c r="A198" s="13">
        <v>188</v>
      </c>
      <c r="B198" s="39" t="str">
        <f t="shared" si="24"/>
        <v/>
      </c>
      <c r="C198" s="51"/>
      <c r="D198" s="15" t="str">
        <f t="shared" si="25"/>
        <v/>
      </c>
      <c r="E198" s="196"/>
      <c r="F198" s="199" t="str">
        <f t="shared" si="26"/>
        <v/>
      </c>
      <c r="G198" s="49"/>
      <c r="H198" s="267" t="str">
        <f t="shared" si="27"/>
        <v/>
      </c>
      <c r="I198" s="267"/>
      <c r="J198" s="56"/>
      <c r="K198" s="57"/>
      <c r="L198" s="57"/>
      <c r="M198" s="51"/>
      <c r="N198" s="56"/>
      <c r="O198" s="51"/>
      <c r="P198" s="50"/>
    </row>
    <row r="199" spans="1:16" ht="15" customHeight="1">
      <c r="A199" s="48">
        <v>189</v>
      </c>
      <c r="B199" s="39" t="str">
        <f t="shared" si="24"/>
        <v/>
      </c>
      <c r="C199" s="51"/>
      <c r="D199" s="15" t="str">
        <f t="shared" si="25"/>
        <v/>
      </c>
      <c r="E199" s="196"/>
      <c r="F199" s="199" t="str">
        <f t="shared" si="26"/>
        <v/>
      </c>
      <c r="G199" s="49"/>
      <c r="H199" s="267" t="str">
        <f t="shared" si="27"/>
        <v/>
      </c>
      <c r="I199" s="267"/>
      <c r="J199" s="56"/>
      <c r="K199" s="57"/>
      <c r="L199" s="57"/>
      <c r="M199" s="51"/>
      <c r="N199" s="56"/>
      <c r="O199" s="51"/>
      <c r="P199" s="50"/>
    </row>
    <row r="200" spans="1:16" ht="15" customHeight="1">
      <c r="A200" s="13">
        <v>190</v>
      </c>
      <c r="B200" s="39" t="str">
        <f t="shared" si="24"/>
        <v/>
      </c>
      <c r="C200" s="51"/>
      <c r="D200" s="15" t="str">
        <f t="shared" si="25"/>
        <v/>
      </c>
      <c r="E200" s="196"/>
      <c r="F200" s="199" t="str">
        <f t="shared" si="26"/>
        <v/>
      </c>
      <c r="G200" s="49"/>
      <c r="H200" s="267" t="str">
        <f t="shared" si="27"/>
        <v/>
      </c>
      <c r="I200" s="267"/>
      <c r="J200" s="56"/>
      <c r="K200" s="57"/>
      <c r="L200" s="57"/>
      <c r="M200" s="51"/>
      <c r="N200" s="56"/>
      <c r="O200" s="51"/>
      <c r="P200" s="50"/>
    </row>
    <row r="201" spans="1:16" ht="15" customHeight="1">
      <c r="A201" s="48">
        <v>191</v>
      </c>
      <c r="B201" s="39" t="str">
        <f t="shared" si="24"/>
        <v/>
      </c>
      <c r="C201" s="51"/>
      <c r="D201" s="15" t="str">
        <f t="shared" si="25"/>
        <v/>
      </c>
      <c r="E201" s="196"/>
      <c r="F201" s="199" t="str">
        <f t="shared" si="26"/>
        <v/>
      </c>
      <c r="G201" s="49"/>
      <c r="H201" s="267" t="str">
        <f t="shared" si="27"/>
        <v/>
      </c>
      <c r="I201" s="267"/>
      <c r="J201" s="56"/>
      <c r="K201" s="57"/>
      <c r="L201" s="57"/>
      <c r="M201" s="51"/>
      <c r="N201" s="56"/>
      <c r="O201" s="51"/>
      <c r="P201" s="50"/>
    </row>
    <row r="202" spans="1:16" ht="15" customHeight="1">
      <c r="A202" s="13">
        <v>192</v>
      </c>
      <c r="B202" s="39" t="str">
        <f t="shared" ref="B202:B210" si="28">IF(IF(ISNA(VLOOKUP(A202,Entrants,4,FALSE)),"",VLOOKUP(A202,Entrants,4,FALSE))="","",IF(ISNA(VLOOKUP(A202,Entrants,4,FALSE)),"",VLOOKUP(A202,Entrants,4,FALSE)))</f>
        <v/>
      </c>
      <c r="C202" s="51"/>
      <c r="D202" s="15" t="str">
        <f t="shared" ref="D202:D210" si="29">IF(IF(ISNA(VLOOKUP(A202,Entrants,5,FALSE)),"",VLOOKUP(A202,Entrants,5,FALSE))=0,"",IF(ISNA(VLOOKUP(A202,Entrants,5,FALSE)),"",VLOOKUP(A202,Entrants,5,FALSE)))</f>
        <v/>
      </c>
      <c r="E202" s="196"/>
      <c r="F202" s="199" t="str">
        <f t="shared" ref="F202:F210" si="30">IF(IF(ISNA(VLOOKUP(A202,Entrants,6,FALSE)),"",VLOOKUP(A202,Entrants,6,FALSE))=0,"",IF(ISNA(VLOOKUP(A202,Entrants,6,FALSE)),"",VLOOKUP(A202,Entrants,6,FALSE)))</f>
        <v/>
      </c>
      <c r="G202" s="49"/>
      <c r="H202" s="267" t="str">
        <f t="shared" ref="H202:H210" si="31">IF(IF(ISNA(VLOOKUP(A202,Entrants,7,FALSE)),"",VLOOKUP(A202,Entrants,7,FALSE))=0,"",IF(ISNA(VLOOKUP(A202,Entrants,7,FALSE)),"",VLOOKUP(A202,Entrants,7,FALSE)))</f>
        <v/>
      </c>
      <c r="I202" s="267"/>
      <c r="J202" s="56"/>
      <c r="K202" s="57"/>
      <c r="L202" s="57"/>
      <c r="M202" s="51"/>
      <c r="N202" s="56"/>
      <c r="O202" s="51"/>
      <c r="P202" s="50"/>
    </row>
    <row r="203" spans="1:16" ht="15" customHeight="1">
      <c r="A203" s="48">
        <v>193</v>
      </c>
      <c r="B203" s="39" t="str">
        <f t="shared" si="28"/>
        <v/>
      </c>
      <c r="C203" s="51"/>
      <c r="D203" s="15" t="str">
        <f t="shared" si="29"/>
        <v/>
      </c>
      <c r="E203" s="196"/>
      <c r="F203" s="199" t="str">
        <f t="shared" si="30"/>
        <v/>
      </c>
      <c r="G203" s="49"/>
      <c r="H203" s="267" t="str">
        <f t="shared" si="31"/>
        <v/>
      </c>
      <c r="I203" s="267"/>
      <c r="J203" s="56"/>
      <c r="K203" s="57"/>
      <c r="L203" s="57"/>
      <c r="M203" s="51"/>
      <c r="N203" s="56"/>
      <c r="O203" s="51"/>
      <c r="P203" s="50"/>
    </row>
    <row r="204" spans="1:16" ht="15" customHeight="1">
      <c r="A204" s="13">
        <v>194</v>
      </c>
      <c r="B204" s="39" t="str">
        <f t="shared" si="28"/>
        <v/>
      </c>
      <c r="C204" s="51"/>
      <c r="D204" s="15" t="str">
        <f t="shared" si="29"/>
        <v/>
      </c>
      <c r="E204" s="196"/>
      <c r="F204" s="199" t="str">
        <f t="shared" si="30"/>
        <v/>
      </c>
      <c r="G204" s="49"/>
      <c r="H204" s="267" t="str">
        <f t="shared" si="31"/>
        <v/>
      </c>
      <c r="I204" s="267"/>
      <c r="J204" s="56"/>
      <c r="K204" s="57"/>
      <c r="L204" s="57"/>
      <c r="M204" s="51"/>
      <c r="N204" s="56"/>
      <c r="O204" s="51"/>
      <c r="P204" s="50"/>
    </row>
    <row r="205" spans="1:16" ht="15" customHeight="1">
      <c r="A205" s="48">
        <v>195</v>
      </c>
      <c r="B205" s="39" t="str">
        <f t="shared" si="28"/>
        <v/>
      </c>
      <c r="C205" s="51"/>
      <c r="D205" s="15" t="str">
        <f t="shared" si="29"/>
        <v/>
      </c>
      <c r="E205" s="196"/>
      <c r="F205" s="199" t="str">
        <f t="shared" si="30"/>
        <v/>
      </c>
      <c r="G205" s="49"/>
      <c r="H205" s="267" t="str">
        <f t="shared" si="31"/>
        <v/>
      </c>
      <c r="I205" s="267"/>
      <c r="J205" s="56"/>
      <c r="K205" s="57"/>
      <c r="L205" s="57"/>
      <c r="M205" s="51"/>
      <c r="N205" s="56"/>
      <c r="O205" s="51"/>
      <c r="P205" s="50"/>
    </row>
    <row r="206" spans="1:16" ht="15" customHeight="1">
      <c r="A206" s="13">
        <v>196</v>
      </c>
      <c r="B206" s="39" t="str">
        <f t="shared" si="28"/>
        <v/>
      </c>
      <c r="C206" s="51"/>
      <c r="D206" s="15" t="str">
        <f t="shared" si="29"/>
        <v/>
      </c>
      <c r="E206" s="196"/>
      <c r="F206" s="199" t="str">
        <f t="shared" si="30"/>
        <v/>
      </c>
      <c r="G206" s="49"/>
      <c r="H206" s="267" t="str">
        <f t="shared" si="31"/>
        <v/>
      </c>
      <c r="I206" s="267"/>
      <c r="J206" s="56"/>
      <c r="K206" s="57"/>
      <c r="L206" s="57"/>
      <c r="M206" s="51"/>
      <c r="N206" s="56"/>
      <c r="O206" s="51"/>
      <c r="P206" s="50"/>
    </row>
    <row r="207" spans="1:16" ht="15" customHeight="1">
      <c r="A207" s="48">
        <v>197</v>
      </c>
      <c r="B207" s="39" t="str">
        <f t="shared" si="28"/>
        <v/>
      </c>
      <c r="C207" s="51"/>
      <c r="D207" s="15" t="str">
        <f t="shared" si="29"/>
        <v/>
      </c>
      <c r="E207" s="196"/>
      <c r="F207" s="199" t="str">
        <f t="shared" si="30"/>
        <v/>
      </c>
      <c r="G207" s="49"/>
      <c r="H207" s="267" t="str">
        <f t="shared" si="31"/>
        <v/>
      </c>
      <c r="I207" s="267"/>
      <c r="J207" s="56"/>
      <c r="K207" s="57"/>
      <c r="L207" s="57"/>
      <c r="M207" s="51"/>
      <c r="N207" s="56"/>
      <c r="O207" s="51"/>
      <c r="P207" s="50"/>
    </row>
    <row r="208" spans="1:16" ht="15" customHeight="1">
      <c r="A208" s="13">
        <v>198</v>
      </c>
      <c r="B208" s="39" t="str">
        <f t="shared" si="28"/>
        <v/>
      </c>
      <c r="C208" s="51"/>
      <c r="D208" s="15" t="str">
        <f t="shared" si="29"/>
        <v/>
      </c>
      <c r="E208" s="196"/>
      <c r="F208" s="199" t="str">
        <f t="shared" si="30"/>
        <v/>
      </c>
      <c r="G208" s="49"/>
      <c r="H208" s="267" t="str">
        <f t="shared" si="31"/>
        <v/>
      </c>
      <c r="I208" s="267"/>
      <c r="J208" s="56"/>
      <c r="K208" s="57"/>
      <c r="L208" s="57"/>
      <c r="M208" s="51"/>
      <c r="N208" s="56"/>
      <c r="O208" s="51"/>
      <c r="P208" s="50"/>
    </row>
    <row r="209" spans="1:16" ht="15" customHeight="1">
      <c r="A209" s="48">
        <v>199</v>
      </c>
      <c r="B209" s="39" t="str">
        <f t="shared" si="28"/>
        <v/>
      </c>
      <c r="C209" s="51"/>
      <c r="D209" s="15" t="str">
        <f t="shared" si="29"/>
        <v/>
      </c>
      <c r="E209" s="196"/>
      <c r="F209" s="199" t="str">
        <f t="shared" si="30"/>
        <v/>
      </c>
      <c r="G209" s="49"/>
      <c r="H209" s="267" t="str">
        <f t="shared" si="31"/>
        <v/>
      </c>
      <c r="I209" s="267"/>
      <c r="J209" s="56"/>
      <c r="K209" s="57"/>
      <c r="L209" s="57"/>
      <c r="M209" s="51"/>
      <c r="N209" s="56"/>
      <c r="O209" s="51"/>
      <c r="P209" s="50"/>
    </row>
    <row r="210" spans="1:16" ht="15" customHeight="1">
      <c r="A210" s="16">
        <v>200</v>
      </c>
      <c r="B210" s="134" t="str">
        <f t="shared" si="28"/>
        <v/>
      </c>
      <c r="C210" s="58"/>
      <c r="D210" s="208" t="str">
        <f t="shared" si="29"/>
        <v/>
      </c>
      <c r="E210" s="197"/>
      <c r="F210" s="46" t="str">
        <f t="shared" si="30"/>
        <v/>
      </c>
      <c r="G210" s="59"/>
      <c r="H210" s="268" t="str">
        <f t="shared" si="31"/>
        <v/>
      </c>
      <c r="I210" s="268"/>
      <c r="J210" s="60"/>
      <c r="K210" s="61"/>
      <c r="L210" s="61"/>
      <c r="M210" s="58"/>
      <c r="N210" s="60"/>
      <c r="O210" s="58"/>
      <c r="P210" s="62"/>
    </row>
    <row r="211" spans="1:16" ht="15" customHeight="1">
      <c r="A211" s="65"/>
    </row>
    <row r="212" spans="1:16" ht="15" customHeight="1">
      <c r="A212" s="65"/>
    </row>
    <row r="213" spans="1:16" ht="15" customHeight="1">
      <c r="A213" s="65"/>
    </row>
    <row r="214" spans="1:16" ht="15" customHeight="1">
      <c r="A214" s="65"/>
    </row>
    <row r="215" spans="1:16" ht="15" customHeight="1">
      <c r="A215" s="65"/>
    </row>
    <row r="216" spans="1:16" ht="15" customHeight="1">
      <c r="A216" s="65"/>
    </row>
    <row r="217" spans="1:16" ht="15" customHeight="1">
      <c r="A217" s="65"/>
    </row>
    <row r="218" spans="1:16" ht="15" customHeight="1">
      <c r="A218" s="65"/>
    </row>
    <row r="219" spans="1:16" ht="15" customHeight="1">
      <c r="A219" s="65"/>
    </row>
    <row r="220" spans="1:16" ht="15" customHeight="1">
      <c r="A220" s="65"/>
    </row>
  </sheetData>
  <sheetProtection password="BC93" sheet="1" selectLockedCells="1"/>
  <mergeCells count="462">
    <mergeCell ref="H171:I171"/>
    <mergeCell ref="H172:I172"/>
    <mergeCell ref="H179:I179"/>
    <mergeCell ref="H180:I180"/>
    <mergeCell ref="H173:I173"/>
    <mergeCell ref="H174:I174"/>
    <mergeCell ref="H175:I175"/>
    <mergeCell ref="H176:I176"/>
    <mergeCell ref="H177:I177"/>
    <mergeCell ref="H178:I178"/>
    <mergeCell ref="H168:I168"/>
    <mergeCell ref="H169:I169"/>
    <mergeCell ref="H170:I170"/>
    <mergeCell ref="A1:M1"/>
    <mergeCell ref="A2:B2"/>
    <mergeCell ref="C2:D2"/>
    <mergeCell ref="H9:I9"/>
    <mergeCell ref="J9:P9"/>
    <mergeCell ref="L2:M2"/>
    <mergeCell ref="J2:K2"/>
    <mergeCell ref="H162:I162"/>
    <mergeCell ref="H163:I163"/>
    <mergeCell ref="H164:I164"/>
    <mergeCell ref="H165:I165"/>
    <mergeCell ref="H166:I166"/>
    <mergeCell ref="H167:I167"/>
    <mergeCell ref="F2:I2"/>
    <mergeCell ref="H161:I161"/>
    <mergeCell ref="H12:I12"/>
    <mergeCell ref="J12:M12"/>
    <mergeCell ref="N12:O12"/>
    <mergeCell ref="D10:E10"/>
    <mergeCell ref="N10:O10"/>
    <mergeCell ref="H11:I11"/>
    <mergeCell ref="H10:I10"/>
    <mergeCell ref="J10:M10"/>
    <mergeCell ref="H15:I15"/>
    <mergeCell ref="J15:M15"/>
    <mergeCell ref="N15:O15"/>
    <mergeCell ref="H16:I16"/>
    <mergeCell ref="J16:M16"/>
    <mergeCell ref="N16:O16"/>
    <mergeCell ref="H13:I13"/>
    <mergeCell ref="J13:M13"/>
    <mergeCell ref="J11:M11"/>
    <mergeCell ref="N11:O11"/>
    <mergeCell ref="N13:O13"/>
    <mergeCell ref="H14:I14"/>
    <mergeCell ref="J14:M14"/>
    <mergeCell ref="N14:O14"/>
    <mergeCell ref="H24:I24"/>
    <mergeCell ref="J24:M24"/>
    <mergeCell ref="N24:O24"/>
    <mergeCell ref="H20:I20"/>
    <mergeCell ref="J20:M20"/>
    <mergeCell ref="N20:O20"/>
    <mergeCell ref="H17:I17"/>
    <mergeCell ref="J17:M17"/>
    <mergeCell ref="N17:O17"/>
    <mergeCell ref="H18:I18"/>
    <mergeCell ref="J18:M18"/>
    <mergeCell ref="N18:O18"/>
    <mergeCell ref="H21:I21"/>
    <mergeCell ref="J21:M21"/>
    <mergeCell ref="N21:O21"/>
    <mergeCell ref="H22:I22"/>
    <mergeCell ref="J22:M22"/>
    <mergeCell ref="N22:O22"/>
    <mergeCell ref="H23:I23"/>
    <mergeCell ref="J23:M23"/>
    <mergeCell ref="N23:O23"/>
    <mergeCell ref="H19:I19"/>
    <mergeCell ref="J19:M19"/>
    <mergeCell ref="N19:O19"/>
    <mergeCell ref="H32:I32"/>
    <mergeCell ref="J32:M32"/>
    <mergeCell ref="N32:O32"/>
    <mergeCell ref="H25:I25"/>
    <mergeCell ref="J25:M25"/>
    <mergeCell ref="N25:O25"/>
    <mergeCell ref="H26:I26"/>
    <mergeCell ref="J26:M26"/>
    <mergeCell ref="N26:O26"/>
    <mergeCell ref="H27:I27"/>
    <mergeCell ref="J27:M27"/>
    <mergeCell ref="N27:O27"/>
    <mergeCell ref="H28:I28"/>
    <mergeCell ref="J28:M28"/>
    <mergeCell ref="N28:O28"/>
    <mergeCell ref="H29:I29"/>
    <mergeCell ref="J29:M29"/>
    <mergeCell ref="N29:O29"/>
    <mergeCell ref="H30:I30"/>
    <mergeCell ref="J30:M30"/>
    <mergeCell ref="N30:O30"/>
    <mergeCell ref="H31:I31"/>
    <mergeCell ref="J31:M31"/>
    <mergeCell ref="N31:O31"/>
    <mergeCell ref="H40:I40"/>
    <mergeCell ref="J40:M40"/>
    <mergeCell ref="N40:O40"/>
    <mergeCell ref="H33:I33"/>
    <mergeCell ref="J33:M33"/>
    <mergeCell ref="N33:O33"/>
    <mergeCell ref="H34:I34"/>
    <mergeCell ref="J34:M34"/>
    <mergeCell ref="N34:O34"/>
    <mergeCell ref="H35:I35"/>
    <mergeCell ref="J35:M35"/>
    <mergeCell ref="N35:O35"/>
    <mergeCell ref="H36:I36"/>
    <mergeCell ref="J36:M36"/>
    <mergeCell ref="N36:O36"/>
    <mergeCell ref="H37:I37"/>
    <mergeCell ref="J37:M37"/>
    <mergeCell ref="N37:O37"/>
    <mergeCell ref="H38:I38"/>
    <mergeCell ref="J38:M38"/>
    <mergeCell ref="N38:O38"/>
    <mergeCell ref="H39:I39"/>
    <mergeCell ref="J39:M39"/>
    <mergeCell ref="N39:O39"/>
    <mergeCell ref="H48:I48"/>
    <mergeCell ref="J48:M48"/>
    <mergeCell ref="N48:O48"/>
    <mergeCell ref="H41:I41"/>
    <mergeCell ref="J41:M41"/>
    <mergeCell ref="N41:O41"/>
    <mergeCell ref="H42:I42"/>
    <mergeCell ref="J42:M42"/>
    <mergeCell ref="N42:O42"/>
    <mergeCell ref="H43:I43"/>
    <mergeCell ref="J43:M43"/>
    <mergeCell ref="N43:O43"/>
    <mergeCell ref="H44:I44"/>
    <mergeCell ref="J44:M44"/>
    <mergeCell ref="N44:O44"/>
    <mergeCell ref="H45:I45"/>
    <mergeCell ref="J45:M45"/>
    <mergeCell ref="N45:O45"/>
    <mergeCell ref="H46:I46"/>
    <mergeCell ref="J46:M46"/>
    <mergeCell ref="N46:O46"/>
    <mergeCell ref="H47:I47"/>
    <mergeCell ref="J47:M47"/>
    <mergeCell ref="N47:O47"/>
    <mergeCell ref="H56:I56"/>
    <mergeCell ref="J56:M56"/>
    <mergeCell ref="N56:O56"/>
    <mergeCell ref="H49:I49"/>
    <mergeCell ref="J49:M49"/>
    <mergeCell ref="N49:O49"/>
    <mergeCell ref="H50:I50"/>
    <mergeCell ref="J50:M50"/>
    <mergeCell ref="N50:O50"/>
    <mergeCell ref="H51:I51"/>
    <mergeCell ref="J51:M51"/>
    <mergeCell ref="N51:O51"/>
    <mergeCell ref="H52:I52"/>
    <mergeCell ref="J52:M52"/>
    <mergeCell ref="N52:O52"/>
    <mergeCell ref="H53:I53"/>
    <mergeCell ref="J53:M53"/>
    <mergeCell ref="N53:O53"/>
    <mergeCell ref="H54:I54"/>
    <mergeCell ref="J54:M54"/>
    <mergeCell ref="N54:O54"/>
    <mergeCell ref="H55:I55"/>
    <mergeCell ref="J55:M55"/>
    <mergeCell ref="N55:O55"/>
    <mergeCell ref="H64:I64"/>
    <mergeCell ref="J64:M64"/>
    <mergeCell ref="N64:O64"/>
    <mergeCell ref="H57:I57"/>
    <mergeCell ref="J57:M57"/>
    <mergeCell ref="N57:O57"/>
    <mergeCell ref="H58:I58"/>
    <mergeCell ref="J58:M58"/>
    <mergeCell ref="N58:O58"/>
    <mergeCell ref="H59:I59"/>
    <mergeCell ref="J59:M59"/>
    <mergeCell ref="N59:O59"/>
    <mergeCell ref="H60:I60"/>
    <mergeCell ref="J60:M60"/>
    <mergeCell ref="N60:O60"/>
    <mergeCell ref="H61:I61"/>
    <mergeCell ref="J61:M61"/>
    <mergeCell ref="N61:O61"/>
    <mergeCell ref="H62:I62"/>
    <mergeCell ref="J62:M62"/>
    <mergeCell ref="N62:O62"/>
    <mergeCell ref="H63:I63"/>
    <mergeCell ref="J63:M63"/>
    <mergeCell ref="N63:O63"/>
    <mergeCell ref="H72:I72"/>
    <mergeCell ref="J72:M72"/>
    <mergeCell ref="N72:O72"/>
    <mergeCell ref="H65:I65"/>
    <mergeCell ref="J65:M65"/>
    <mergeCell ref="N65:O65"/>
    <mergeCell ref="H66:I66"/>
    <mergeCell ref="J66:M66"/>
    <mergeCell ref="N66:O66"/>
    <mergeCell ref="H67:I67"/>
    <mergeCell ref="J67:M67"/>
    <mergeCell ref="N67:O67"/>
    <mergeCell ref="H68:I68"/>
    <mergeCell ref="J68:M68"/>
    <mergeCell ref="N68:O68"/>
    <mergeCell ref="H69:I69"/>
    <mergeCell ref="J69:M69"/>
    <mergeCell ref="N69:O69"/>
    <mergeCell ref="H70:I70"/>
    <mergeCell ref="J70:M70"/>
    <mergeCell ref="N70:O70"/>
    <mergeCell ref="H71:I71"/>
    <mergeCell ref="J71:M71"/>
    <mergeCell ref="N71:O71"/>
    <mergeCell ref="H80:I80"/>
    <mergeCell ref="J80:M80"/>
    <mergeCell ref="N80:O80"/>
    <mergeCell ref="H73:I73"/>
    <mergeCell ref="J73:M73"/>
    <mergeCell ref="N73:O73"/>
    <mergeCell ref="H74:I74"/>
    <mergeCell ref="J74:M74"/>
    <mergeCell ref="N74:O74"/>
    <mergeCell ref="H75:I75"/>
    <mergeCell ref="J75:M75"/>
    <mergeCell ref="N75:O75"/>
    <mergeCell ref="H76:I76"/>
    <mergeCell ref="J76:M76"/>
    <mergeCell ref="N76:O76"/>
    <mergeCell ref="H77:I77"/>
    <mergeCell ref="J77:M77"/>
    <mergeCell ref="N77:O77"/>
    <mergeCell ref="H78:I78"/>
    <mergeCell ref="J78:M78"/>
    <mergeCell ref="N78:O78"/>
    <mergeCell ref="H79:I79"/>
    <mergeCell ref="J79:M79"/>
    <mergeCell ref="N79:O79"/>
    <mergeCell ref="H88:I88"/>
    <mergeCell ref="J88:M88"/>
    <mergeCell ref="N88:O88"/>
    <mergeCell ref="H81:I81"/>
    <mergeCell ref="J81:M81"/>
    <mergeCell ref="N81:O81"/>
    <mergeCell ref="H82:I82"/>
    <mergeCell ref="J82:M82"/>
    <mergeCell ref="N82:O82"/>
    <mergeCell ref="H83:I83"/>
    <mergeCell ref="J83:M83"/>
    <mergeCell ref="N83:O83"/>
    <mergeCell ref="H84:I84"/>
    <mergeCell ref="J84:M84"/>
    <mergeCell ref="N84:O84"/>
    <mergeCell ref="H85:I85"/>
    <mergeCell ref="J85:M85"/>
    <mergeCell ref="N85:O85"/>
    <mergeCell ref="H86:I86"/>
    <mergeCell ref="J86:M86"/>
    <mergeCell ref="N86:O86"/>
    <mergeCell ref="H87:I87"/>
    <mergeCell ref="J87:M87"/>
    <mergeCell ref="N87:O87"/>
    <mergeCell ref="H96:I96"/>
    <mergeCell ref="J96:M96"/>
    <mergeCell ref="N96:O96"/>
    <mergeCell ref="H89:I89"/>
    <mergeCell ref="J89:M89"/>
    <mergeCell ref="N89:O89"/>
    <mergeCell ref="H90:I90"/>
    <mergeCell ref="J90:M90"/>
    <mergeCell ref="N90:O90"/>
    <mergeCell ref="H91:I91"/>
    <mergeCell ref="J91:M91"/>
    <mergeCell ref="N91:O91"/>
    <mergeCell ref="H92:I92"/>
    <mergeCell ref="J92:M92"/>
    <mergeCell ref="N92:O92"/>
    <mergeCell ref="H93:I93"/>
    <mergeCell ref="J93:M93"/>
    <mergeCell ref="N93:O93"/>
    <mergeCell ref="H94:I94"/>
    <mergeCell ref="J94:M94"/>
    <mergeCell ref="N94:O94"/>
    <mergeCell ref="H95:I95"/>
    <mergeCell ref="J95:M95"/>
    <mergeCell ref="N95:O95"/>
    <mergeCell ref="H104:I104"/>
    <mergeCell ref="J104:M104"/>
    <mergeCell ref="N104:O104"/>
    <mergeCell ref="H97:I97"/>
    <mergeCell ref="J97:M97"/>
    <mergeCell ref="N97:O97"/>
    <mergeCell ref="H98:I98"/>
    <mergeCell ref="J98:M98"/>
    <mergeCell ref="N98:O98"/>
    <mergeCell ref="H99:I99"/>
    <mergeCell ref="J99:M99"/>
    <mergeCell ref="N99:O99"/>
    <mergeCell ref="H100:I100"/>
    <mergeCell ref="J100:M100"/>
    <mergeCell ref="N100:O100"/>
    <mergeCell ref="H101:I101"/>
    <mergeCell ref="J101:M101"/>
    <mergeCell ref="N101:O101"/>
    <mergeCell ref="H102:I102"/>
    <mergeCell ref="J102:M102"/>
    <mergeCell ref="N102:O102"/>
    <mergeCell ref="H103:I103"/>
    <mergeCell ref="J103:M103"/>
    <mergeCell ref="N103:O103"/>
    <mergeCell ref="H112:I112"/>
    <mergeCell ref="J112:M112"/>
    <mergeCell ref="N112:O112"/>
    <mergeCell ref="H105:I105"/>
    <mergeCell ref="J105:M105"/>
    <mergeCell ref="N105:O105"/>
    <mergeCell ref="H106:I106"/>
    <mergeCell ref="J106:M106"/>
    <mergeCell ref="N106:O106"/>
    <mergeCell ref="H107:I107"/>
    <mergeCell ref="J107:M107"/>
    <mergeCell ref="N107:O107"/>
    <mergeCell ref="H108:I108"/>
    <mergeCell ref="J108:M108"/>
    <mergeCell ref="N108:O108"/>
    <mergeCell ref="H109:I109"/>
    <mergeCell ref="J109:M109"/>
    <mergeCell ref="N109:O109"/>
    <mergeCell ref="H110:I110"/>
    <mergeCell ref="J110:M110"/>
    <mergeCell ref="N110:O110"/>
    <mergeCell ref="H111:I111"/>
    <mergeCell ref="J111:M111"/>
    <mergeCell ref="N111:O111"/>
    <mergeCell ref="H120:I120"/>
    <mergeCell ref="J120:M120"/>
    <mergeCell ref="N120:O120"/>
    <mergeCell ref="H113:I113"/>
    <mergeCell ref="J113:M113"/>
    <mergeCell ref="N113:O113"/>
    <mergeCell ref="H114:I114"/>
    <mergeCell ref="J114:M114"/>
    <mergeCell ref="N114:O114"/>
    <mergeCell ref="H115:I115"/>
    <mergeCell ref="J115:M115"/>
    <mergeCell ref="N115:O115"/>
    <mergeCell ref="H116:I116"/>
    <mergeCell ref="J116:M116"/>
    <mergeCell ref="N116:O116"/>
    <mergeCell ref="H117:I117"/>
    <mergeCell ref="J117:M117"/>
    <mergeCell ref="N117:O117"/>
    <mergeCell ref="H118:I118"/>
    <mergeCell ref="J118:M118"/>
    <mergeCell ref="N118:O118"/>
    <mergeCell ref="H119:I119"/>
    <mergeCell ref="J119:M119"/>
    <mergeCell ref="N119:O119"/>
    <mergeCell ref="H128:I128"/>
    <mergeCell ref="J128:M128"/>
    <mergeCell ref="N128:O128"/>
    <mergeCell ref="H121:I121"/>
    <mergeCell ref="J121:M121"/>
    <mergeCell ref="N121:O121"/>
    <mergeCell ref="H122:I122"/>
    <mergeCell ref="J122:M122"/>
    <mergeCell ref="N122:O122"/>
    <mergeCell ref="H123:I123"/>
    <mergeCell ref="J123:M123"/>
    <mergeCell ref="N123:O123"/>
    <mergeCell ref="H124:I124"/>
    <mergeCell ref="J124:M124"/>
    <mergeCell ref="N124:O124"/>
    <mergeCell ref="H125:I125"/>
    <mergeCell ref="J125:M125"/>
    <mergeCell ref="N125:O125"/>
    <mergeCell ref="H126:I126"/>
    <mergeCell ref="J126:M126"/>
    <mergeCell ref="N126:O126"/>
    <mergeCell ref="H127:I127"/>
    <mergeCell ref="J127:M127"/>
    <mergeCell ref="N127:O127"/>
    <mergeCell ref="H133:I133"/>
    <mergeCell ref="H129:I129"/>
    <mergeCell ref="J129:M129"/>
    <mergeCell ref="N129:O129"/>
    <mergeCell ref="H130:I130"/>
    <mergeCell ref="J130:M130"/>
    <mergeCell ref="N130:O130"/>
    <mergeCell ref="H131:I131"/>
    <mergeCell ref="J131:M131"/>
    <mergeCell ref="N131:O131"/>
    <mergeCell ref="H132:I132"/>
    <mergeCell ref="J132:M132"/>
    <mergeCell ref="N132:O132"/>
    <mergeCell ref="H153:I153"/>
    <mergeCell ref="H154:I154"/>
    <mergeCell ref="H159:I159"/>
    <mergeCell ref="H160:I160"/>
    <mergeCell ref="H155:I155"/>
    <mergeCell ref="H156:I156"/>
    <mergeCell ref="H157:I157"/>
    <mergeCell ref="H158:I158"/>
    <mergeCell ref="N133:O133"/>
    <mergeCell ref="H145:I145"/>
    <mergeCell ref="H134:I134"/>
    <mergeCell ref="J134:M134"/>
    <mergeCell ref="N134:O134"/>
    <mergeCell ref="H136:I136"/>
    <mergeCell ref="J136:M136"/>
    <mergeCell ref="N136:O136"/>
    <mergeCell ref="H141:I141"/>
    <mergeCell ref="H142:I142"/>
    <mergeCell ref="J133:M133"/>
    <mergeCell ref="H137:I137"/>
    <mergeCell ref="H138:I138"/>
    <mergeCell ref="H139:I139"/>
    <mergeCell ref="H140:I140"/>
    <mergeCell ref="H135:I135"/>
    <mergeCell ref="H151:I151"/>
    <mergeCell ref="H152:I152"/>
    <mergeCell ref="H146:I146"/>
    <mergeCell ref="H147:I147"/>
    <mergeCell ref="H148:I148"/>
    <mergeCell ref="H149:I149"/>
    <mergeCell ref="H150:I150"/>
    <mergeCell ref="H143:I143"/>
    <mergeCell ref="H144:I144"/>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208:I208"/>
    <mergeCell ref="H209:I209"/>
    <mergeCell ref="H210:I210"/>
    <mergeCell ref="H199:I199"/>
    <mergeCell ref="H200:I200"/>
    <mergeCell ref="H201:I201"/>
    <mergeCell ref="H202:I202"/>
    <mergeCell ref="H203:I203"/>
    <mergeCell ref="H204:I204"/>
    <mergeCell ref="H205:I205"/>
    <mergeCell ref="H206:I206"/>
    <mergeCell ref="H207:I207"/>
  </mergeCells>
  <phoneticPr fontId="13" type="noConversion"/>
  <pageMargins left="0.15748031496062992" right="0.15748031496062992" top="0.39370078740157483" bottom="0.19685039370078741"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R207"/>
  <sheetViews>
    <sheetView showGridLines="0" topLeftCell="C55" zoomScaleNormal="100" workbookViewId="0">
      <selection activeCell="I81" sqref="I81"/>
    </sheetView>
  </sheetViews>
  <sheetFormatPr defaultRowHeight="13.15"/>
  <cols>
    <col min="1" max="2" width="11.42578125" hidden="1" customWidth="1"/>
    <col min="3" max="3" width="3.85546875" customWidth="1"/>
    <col min="4" max="4" width="15.28515625" customWidth="1"/>
    <col min="5" max="5" width="16.5703125" customWidth="1"/>
    <col min="6" max="6" width="8.7109375" customWidth="1"/>
    <col min="7" max="7" width="4.28515625" customWidth="1"/>
    <col min="8" max="8" width="6" customWidth="1"/>
    <col min="9" max="10" width="8.28515625" customWidth="1"/>
    <col min="11" max="11" width="9.85546875" hidden="1" customWidth="1"/>
    <col min="12" max="13" width="7.7109375" customWidth="1"/>
    <col min="14" max="14" width="7.7109375" hidden="1" customWidth="1"/>
    <col min="15" max="15" width="7.42578125" customWidth="1"/>
    <col min="16" max="16" width="1.42578125" customWidth="1"/>
    <col min="17" max="17" width="7.7109375" customWidth="1"/>
    <col min="18" max="18" width="5" customWidth="1"/>
    <col min="19" max="19" width="1.5703125" customWidth="1"/>
  </cols>
  <sheetData>
    <row r="2" spans="1:18" ht="17.45">
      <c r="C2" s="80" t="str">
        <f>FacingSheet!B8</f>
        <v>Ronnie MacDonald 10 mile TT</v>
      </c>
    </row>
    <row r="3" spans="1:18" ht="15">
      <c r="C3" s="302">
        <f>IF(ISERROR(FacingSheet!S9),"",FacingSheet!S9)</f>
        <v>45907</v>
      </c>
      <c r="D3" s="302"/>
    </row>
    <row r="4" spans="1:18" ht="15">
      <c r="C4" s="81" t="str">
        <f>FacingSheet!B13</f>
        <v>A9</v>
      </c>
      <c r="D4" s="81"/>
    </row>
    <row r="5" spans="1:18" ht="15.6">
      <c r="C5" s="82" t="s">
        <v>78</v>
      </c>
      <c r="D5" s="83"/>
      <c r="E5" s="83"/>
      <c r="F5" s="83"/>
      <c r="G5" s="83"/>
      <c r="H5" s="83"/>
      <c r="I5" s="83"/>
      <c r="J5" s="83"/>
      <c r="K5" s="83"/>
      <c r="L5" s="83"/>
      <c r="M5" s="83"/>
      <c r="N5" s="83"/>
      <c r="O5" s="83"/>
      <c r="P5" s="83"/>
      <c r="Q5" s="83"/>
    </row>
    <row r="6" spans="1:18" ht="6.75" customHeight="1">
      <c r="C6" s="82"/>
      <c r="D6" s="83"/>
      <c r="E6" s="83"/>
      <c r="F6" s="83"/>
      <c r="G6" s="83"/>
      <c r="H6" s="83"/>
      <c r="I6" s="83"/>
      <c r="J6" s="83"/>
      <c r="K6" s="83"/>
      <c r="L6" s="83"/>
      <c r="M6" s="83"/>
      <c r="N6" s="83"/>
      <c r="O6" s="83"/>
      <c r="P6" s="83"/>
      <c r="Q6" s="83"/>
    </row>
    <row r="7" spans="1:18" ht="26.45">
      <c r="A7" s="1" t="s">
        <v>79</v>
      </c>
      <c r="B7" s="1"/>
      <c r="C7" s="84" t="s">
        <v>71</v>
      </c>
      <c r="D7" s="85" t="s">
        <v>80</v>
      </c>
      <c r="E7" s="85" t="s">
        <v>81</v>
      </c>
      <c r="F7" s="86" t="s">
        <v>82</v>
      </c>
      <c r="G7" s="87" t="s">
        <v>43</v>
      </c>
      <c r="H7" s="88" t="s">
        <v>17</v>
      </c>
      <c r="I7" s="88" t="s">
        <v>83</v>
      </c>
      <c r="J7" s="88" t="s">
        <v>84</v>
      </c>
      <c r="K7" s="88"/>
      <c r="L7" s="88" t="s">
        <v>85</v>
      </c>
      <c r="M7" s="88" t="s">
        <v>86</v>
      </c>
      <c r="N7" s="88"/>
      <c r="O7" s="88" t="s">
        <v>50</v>
      </c>
      <c r="P7" s="89"/>
      <c r="Q7" s="231" t="s">
        <v>87</v>
      </c>
      <c r="R7" s="232" t="s">
        <v>88</v>
      </c>
    </row>
    <row r="8" spans="1:18" ht="14.1" customHeight="1">
      <c r="A8" t="e">
        <f>RANK(K8,$K$8:$K$208,1)</f>
        <v>#VALUE!</v>
      </c>
      <c r="B8" t="e">
        <f>RANK(N8,$N$8:$N$208,1)</f>
        <v>#VALUE!</v>
      </c>
      <c r="C8" s="152">
        <f>'Sign-On'!A11</f>
        <v>1</v>
      </c>
      <c r="D8" s="142" t="str">
        <f>'Sign-On'!B11</f>
        <v/>
      </c>
      <c r="E8" s="142" t="str">
        <f>'Sign-On'!D11</f>
        <v/>
      </c>
      <c r="F8" s="142" t="str">
        <f>'Sign-On'!H11</f>
        <v/>
      </c>
      <c r="G8" s="143" t="str">
        <f>'Sign-On'!F11</f>
        <v/>
      </c>
      <c r="H8" s="153">
        <f>FacingSheet!$S$10+(1/1440)</f>
        <v>0.37569444444444444</v>
      </c>
      <c r="I8" s="154"/>
      <c r="J8" s="155" t="str">
        <f>IF(I8="","",I8-H8)</f>
        <v/>
      </c>
      <c r="K8" s="189" t="str">
        <f>IF(IF(AND(J8="",D8=""),"",IF(AND(J8&lt;&gt;"",D8&lt;&gt;""),J8+0.000000001*ROW(),IF(AND(J8="",D8&lt;&gt;""),5*ROW())))&gt;1,"",IF(AND(J8="",D8=""),"",IF(AND(J8&lt;&gt;"",D8&lt;&gt;""),J8+0.000000001*ROW(),IF(AND(J8="",D8&lt;&gt;""),5*ROW()))))</f>
        <v/>
      </c>
      <c r="L8" s="155" t="str">
        <f t="shared" ref="L8:L39" si="0">IF(ISERROR(VLOOKUP(C8,Entrants,16,FALSE)),"",VLOOKUP(C8,Entrants,16,FALSE))</f>
        <v/>
      </c>
      <c r="M8" s="155" t="str">
        <f>IF(OR(L8="",J8=""),"",J8-L8)</f>
        <v/>
      </c>
      <c r="N8" s="189" t="str">
        <f>IF(IF(AND(M8="",D8=""),"",IF(AND(M8&lt;&gt;"",D8&lt;&gt;""),M8+0.000000001*ROW(),IF(AND(M8="",D8&lt;&gt;""),5*ROW())))&gt;1,"",IF(AND(M8="",D8=""),"",IF(AND(M8&lt;&gt;"",D8&lt;&gt;""),M8+0.000000001*ROW(),IF(AND(M8="",D8&lt;&gt;""),5*ROW()))))</f>
        <v/>
      </c>
      <c r="O8" s="155" t="str">
        <f t="shared" ref="O8:O39" si="1">IF(ISERROR(VLOOKUP(C8,Entrants,20,FALSE)),"",VLOOKUP(C8,Entrants,20,FALSE))</f>
        <v/>
      </c>
      <c r="P8" s="145" t="str">
        <f>IF(OR(O8="",J8=""),"",IF(J8&gt;O8,"-","+"))</f>
        <v/>
      </c>
      <c r="Q8" s="230" t="str">
        <f>IF(OR(O8="",J8=""),"",IF(J8&gt;O8,J8-O8,O8-J8))</f>
        <v/>
      </c>
      <c r="R8" s="233"/>
    </row>
    <row r="9" spans="1:18" ht="14.1" customHeight="1">
      <c r="A9">
        <f t="shared" ref="A9:A72" si="2">RANK(K9,$K$8:$K$208,1)</f>
        <v>47</v>
      </c>
      <c r="B9">
        <f t="shared" ref="B9:B72" si="3">RANK(N9,$N$8:$N$208,1)</f>
        <v>14</v>
      </c>
      <c r="C9" s="152">
        <f>'Sign-On'!A12</f>
        <v>2</v>
      </c>
      <c r="D9" s="142" t="str">
        <f>'Sign-On'!B12</f>
        <v>Stan MacKenzie</v>
      </c>
      <c r="E9" s="142" t="str">
        <f>'Sign-On'!D12</f>
        <v>Ross-Shire RCC</v>
      </c>
      <c r="F9" s="142" t="str">
        <f>'Sign-On'!H12</f>
        <v>1062018</v>
      </c>
      <c r="G9" s="143" t="str">
        <f>'Sign-On'!F12</f>
        <v>V</v>
      </c>
      <c r="H9" s="153">
        <f>H8+1/1440</f>
        <v>0.37638888888888888</v>
      </c>
      <c r="I9" s="154">
        <v>0.39479166666666665</v>
      </c>
      <c r="J9" s="155">
        <f t="shared" ref="J9:J72" si="4">IF(I9="","",I9-H9)</f>
        <v>1.8402777777777768E-2</v>
      </c>
      <c r="K9" s="189">
        <f t="shared" ref="K9:K72" si="5">IF(IF(AND(J9="",D9=""),"",IF(AND(J9&lt;&gt;"",D9&lt;&gt;""),J9+0.000000001*ROW(),IF(AND(J9="",D9&lt;&gt;""),5*ROW())))&gt;1,"",IF(AND(J9="",D9=""),"",IF(AND(J9&lt;&gt;"",D9&lt;&gt;""),J9+0.000000001*ROW(),IF(AND(J9="",D9&lt;&gt;""),5*ROW()))))</f>
        <v>1.8402786777777767E-2</v>
      </c>
      <c r="L9" s="155">
        <f t="shared" si="0"/>
        <v>4.4903378019576466E-3</v>
      </c>
      <c r="M9" s="155">
        <f t="shared" ref="M9:M72" si="6">IF(OR(L9="",J9=""),"",J9-L9)</f>
        <v>1.3912439975820121E-2</v>
      </c>
      <c r="N9" s="189">
        <f t="shared" ref="N9:N72" si="7">IF(IF(AND(M9="",D9=""),"",IF(AND(M9&lt;&gt;"",D9&lt;&gt;""),M9+0.000000001*ROW(),IF(AND(M9="",D9&lt;&gt;""),5*ROW())))&gt;1,"",IF(AND(M9="",D9=""),"",IF(AND(M9&lt;&gt;"",D9&lt;&gt;""),M9+0.000000001*ROW(),IF(AND(M9="",D9&lt;&gt;""),5*ROW()))))</f>
        <v>1.3912448975820122E-2</v>
      </c>
      <c r="O9" s="155">
        <f t="shared" si="1"/>
        <v>1.9432870370370371E-2</v>
      </c>
      <c r="P9" s="145" t="str">
        <f t="shared" ref="P9:P72" si="8">IF(OR(O9="",J9=""),"",IF(J9&gt;O9,"-","+"))</f>
        <v>+</v>
      </c>
      <c r="Q9" s="230">
        <f t="shared" ref="Q9:Q72" si="9">IF(OR(O9="",J9=""),"",IF(J9&gt;O9,J9-O9,O9-J9))</f>
        <v>1.0300925925926033E-3</v>
      </c>
      <c r="R9" s="233"/>
    </row>
    <row r="10" spans="1:18" ht="14.1" customHeight="1">
      <c r="A10">
        <f t="shared" si="2"/>
        <v>29</v>
      </c>
      <c r="B10">
        <f t="shared" si="3"/>
        <v>4</v>
      </c>
      <c r="C10" s="152">
        <f>'Sign-On'!A13</f>
        <v>3</v>
      </c>
      <c r="D10" s="142" t="str">
        <f>'Sign-On'!B13</f>
        <v>Alan Horsburgh</v>
      </c>
      <c r="E10" s="142" t="str">
        <f>'Sign-On'!D13</f>
        <v>Inverness Cycle Club</v>
      </c>
      <c r="F10" s="142" t="str">
        <f>'Sign-On'!H13</f>
        <v>955248</v>
      </c>
      <c r="G10" s="143" t="str">
        <f>'Sign-On'!F13</f>
        <v>V</v>
      </c>
      <c r="H10" s="153">
        <f t="shared" ref="H10:H73" si="10">H9+1/1440</f>
        <v>0.37708333333333333</v>
      </c>
      <c r="I10" s="154">
        <v>0.39368055555555553</v>
      </c>
      <c r="J10" s="155">
        <f t="shared" si="4"/>
        <v>1.6597222222222208E-2</v>
      </c>
      <c r="K10" s="189">
        <f t="shared" si="5"/>
        <v>1.6597232222222209E-2</v>
      </c>
      <c r="L10" s="155">
        <f t="shared" si="0"/>
        <v>3.3768493771891704E-3</v>
      </c>
      <c r="M10" s="155">
        <f t="shared" si="6"/>
        <v>1.3220372845033038E-2</v>
      </c>
      <c r="N10" s="189">
        <f t="shared" si="7"/>
        <v>1.3220382845033038E-2</v>
      </c>
      <c r="O10" s="155">
        <f t="shared" si="1"/>
        <v>1.8576388888888889E-2</v>
      </c>
      <c r="P10" s="145" t="str">
        <f t="shared" si="8"/>
        <v>+</v>
      </c>
      <c r="Q10" s="230">
        <f t="shared" si="9"/>
        <v>1.9791666666666811E-3</v>
      </c>
      <c r="R10" s="233"/>
    </row>
    <row r="11" spans="1:18" ht="14.1" customHeight="1">
      <c r="A11" t="e">
        <f t="shared" si="2"/>
        <v>#VALUE!</v>
      </c>
      <c r="B11" t="e">
        <f t="shared" si="3"/>
        <v>#VALUE!</v>
      </c>
      <c r="C11" s="152">
        <f>'Sign-On'!A14</f>
        <v>4</v>
      </c>
      <c r="D11" s="142" t="str">
        <f>'Sign-On'!B14</f>
        <v>Matthew Jones</v>
      </c>
      <c r="E11" s="142" t="str">
        <f>'Sign-On'!D14</f>
        <v>Ross-Shire RCC</v>
      </c>
      <c r="F11" s="142" t="str">
        <f>'Sign-On'!H14</f>
        <v>1856912</v>
      </c>
      <c r="G11" s="143" t="str">
        <f>'Sign-On'!F14</f>
        <v>V</v>
      </c>
      <c r="H11" s="153">
        <f t="shared" si="10"/>
        <v>0.37777777777777777</v>
      </c>
      <c r="I11" s="154"/>
      <c r="J11" s="155" t="str">
        <f t="shared" si="4"/>
        <v/>
      </c>
      <c r="K11" s="189" t="str">
        <f t="shared" si="5"/>
        <v/>
      </c>
      <c r="L11" s="155">
        <f t="shared" si="0"/>
        <v>4.7494902191702552E-3</v>
      </c>
      <c r="M11" s="155" t="str">
        <f t="shared" si="6"/>
        <v/>
      </c>
      <c r="N11" s="189" t="str">
        <f t="shared" si="7"/>
        <v/>
      </c>
      <c r="O11" s="155">
        <f t="shared" si="1"/>
        <v>1.9131944444444444E-2</v>
      </c>
      <c r="P11" s="145" t="str">
        <f t="shared" si="8"/>
        <v/>
      </c>
      <c r="Q11" s="230" t="str">
        <f t="shared" si="9"/>
        <v/>
      </c>
      <c r="R11" s="233"/>
    </row>
    <row r="12" spans="1:18" ht="14.1" customHeight="1">
      <c r="A12">
        <f t="shared" si="2"/>
        <v>20</v>
      </c>
      <c r="B12">
        <f t="shared" si="3"/>
        <v>25</v>
      </c>
      <c r="C12" s="152">
        <f>'Sign-On'!A15</f>
        <v>5</v>
      </c>
      <c r="D12" s="142" t="str">
        <f>'Sign-On'!B15</f>
        <v>Daniel Sutherland</v>
      </c>
      <c r="E12" s="142" t="str">
        <f>'Sign-On'!D15</f>
        <v>Moray Firth Cycling Club</v>
      </c>
      <c r="F12" s="142" t="str">
        <f>'Sign-On'!H15</f>
        <v>1423884</v>
      </c>
      <c r="G12" s="143" t="str">
        <f>'Sign-On'!F15</f>
        <v>V</v>
      </c>
      <c r="H12" s="153">
        <f t="shared" si="10"/>
        <v>0.37847222222222221</v>
      </c>
      <c r="I12" s="154">
        <v>0.39457175925925925</v>
      </c>
      <c r="J12" s="155">
        <f t="shared" si="4"/>
        <v>1.6099537037037037E-2</v>
      </c>
      <c r="K12" s="189">
        <f t="shared" si="5"/>
        <v>1.6099549037037038E-2</v>
      </c>
      <c r="L12" s="155">
        <f t="shared" si="0"/>
        <v>1.9759278135402822E-3</v>
      </c>
      <c r="M12" s="155">
        <f t="shared" si="6"/>
        <v>1.4123609223496755E-2</v>
      </c>
      <c r="N12" s="189">
        <f t="shared" si="7"/>
        <v>1.4123621223496755E-2</v>
      </c>
      <c r="O12" s="155">
        <f t="shared" si="1"/>
        <v>1.8310185185185186E-2</v>
      </c>
      <c r="P12" s="145" t="str">
        <f t="shared" si="8"/>
        <v>+</v>
      </c>
      <c r="Q12" s="230">
        <f t="shared" si="9"/>
        <v>2.2106481481481491E-3</v>
      </c>
      <c r="R12" s="233"/>
    </row>
    <row r="13" spans="1:18" ht="14.1" customHeight="1">
      <c r="A13">
        <f t="shared" si="2"/>
        <v>51</v>
      </c>
      <c r="B13">
        <f t="shared" si="3"/>
        <v>30</v>
      </c>
      <c r="C13" s="152">
        <f>'Sign-On'!A16</f>
        <v>6</v>
      </c>
      <c r="D13" s="142" t="str">
        <f>'Sign-On'!B16</f>
        <v>julie cleghorn</v>
      </c>
      <c r="E13" s="142" t="str">
        <f>'Sign-On'!D16</f>
        <v>Ross-Shire RCC</v>
      </c>
      <c r="F13" s="142" t="str">
        <f>'Sign-On'!H16</f>
        <v/>
      </c>
      <c r="G13" s="143" t="str">
        <f>'Sign-On'!F16</f>
        <v>FV</v>
      </c>
      <c r="H13" s="153">
        <f t="shared" si="10"/>
        <v>0.37916666666666665</v>
      </c>
      <c r="I13" s="154">
        <v>0.39921296296296294</v>
      </c>
      <c r="J13" s="155">
        <f t="shared" si="4"/>
        <v>2.0046296296296284E-2</v>
      </c>
      <c r="K13" s="189">
        <f t="shared" si="5"/>
        <v>2.0046309296296284E-2</v>
      </c>
      <c r="L13" s="155">
        <f t="shared" si="0"/>
        <v>5.7073374451790081E-3</v>
      </c>
      <c r="M13" s="155">
        <f t="shared" si="6"/>
        <v>1.4338958851117276E-2</v>
      </c>
      <c r="N13" s="189">
        <f t="shared" si="7"/>
        <v>1.4338971851117276E-2</v>
      </c>
      <c r="O13" s="155">
        <f t="shared" si="1"/>
        <v>2.0775462962962964E-2</v>
      </c>
      <c r="P13" s="145" t="str">
        <f t="shared" si="8"/>
        <v>+</v>
      </c>
      <c r="Q13" s="230">
        <f t="shared" si="9"/>
        <v>7.2916666666668004E-4</v>
      </c>
      <c r="R13" s="233"/>
    </row>
    <row r="14" spans="1:18" ht="14.1" customHeight="1">
      <c r="A14">
        <f t="shared" si="2"/>
        <v>25</v>
      </c>
      <c r="B14">
        <f t="shared" si="3"/>
        <v>32</v>
      </c>
      <c r="C14" s="152">
        <f>'Sign-On'!A17</f>
        <v>7</v>
      </c>
      <c r="D14" s="142" t="str">
        <f>'Sign-On'!B17</f>
        <v>Jonathan Forbes</v>
      </c>
      <c r="E14" s="142" t="str">
        <f>'Sign-On'!D17</f>
        <v>Ross-Shire RCC</v>
      </c>
      <c r="F14" s="142" t="str">
        <f>'Sign-On'!H17</f>
        <v>1359206</v>
      </c>
      <c r="G14" s="143" t="str">
        <f>'Sign-On'!F17</f>
        <v>S</v>
      </c>
      <c r="H14" s="153">
        <f t="shared" si="10"/>
        <v>0.37986111111111109</v>
      </c>
      <c r="I14" s="154">
        <v>0.39629629629629631</v>
      </c>
      <c r="J14" s="155">
        <f t="shared" si="4"/>
        <v>1.6435185185185219E-2</v>
      </c>
      <c r="K14" s="189">
        <f t="shared" si="5"/>
        <v>1.6435199185185219E-2</v>
      </c>
      <c r="L14" s="155">
        <f t="shared" si="0"/>
        <v>1.9960235809029269E-3</v>
      </c>
      <c r="M14" s="155">
        <f t="shared" si="6"/>
        <v>1.4439161604282293E-2</v>
      </c>
      <c r="N14" s="189">
        <f t="shared" si="7"/>
        <v>1.4439175604282293E-2</v>
      </c>
      <c r="O14" s="155" t="str">
        <f t="shared" si="1"/>
        <v/>
      </c>
      <c r="P14" s="145" t="str">
        <f t="shared" si="8"/>
        <v/>
      </c>
      <c r="Q14" s="230" t="str">
        <f t="shared" si="9"/>
        <v/>
      </c>
      <c r="R14" s="233"/>
    </row>
    <row r="15" spans="1:18" ht="14.1" customHeight="1">
      <c r="A15">
        <f t="shared" si="2"/>
        <v>33</v>
      </c>
      <c r="B15">
        <f t="shared" si="3"/>
        <v>33</v>
      </c>
      <c r="C15" s="152">
        <f>'Sign-On'!A18</f>
        <v>8</v>
      </c>
      <c r="D15" s="142" t="str">
        <f>'Sign-On'!B18</f>
        <v>Michael Morris</v>
      </c>
      <c r="E15" s="142" t="str">
        <f>'Sign-On'!D18</f>
        <v>Cairngorm CC</v>
      </c>
      <c r="F15" s="142" t="str">
        <f>'Sign-On'!H18</f>
        <v>1729605</v>
      </c>
      <c r="G15" s="143" t="str">
        <f>'Sign-On'!F18</f>
        <v>V</v>
      </c>
      <c r="H15" s="153">
        <f t="shared" si="10"/>
        <v>0.38055555555555554</v>
      </c>
      <c r="I15" s="154">
        <v>0.39760416666666665</v>
      </c>
      <c r="J15" s="155">
        <f t="shared" si="4"/>
        <v>1.7048611111111112E-2</v>
      </c>
      <c r="K15" s="189">
        <f t="shared" si="5"/>
        <v>1.7048626111111111E-2</v>
      </c>
      <c r="L15" s="155">
        <f t="shared" si="0"/>
        <v>2.5608270943601463E-3</v>
      </c>
      <c r="M15" s="155">
        <f t="shared" si="6"/>
        <v>1.4487784016750965E-2</v>
      </c>
      <c r="N15" s="189">
        <f t="shared" si="7"/>
        <v>1.4487799016750966E-2</v>
      </c>
      <c r="O15" s="155">
        <f t="shared" si="1"/>
        <v>1.9351851851851853E-2</v>
      </c>
      <c r="P15" s="145" t="str">
        <f t="shared" si="8"/>
        <v>+</v>
      </c>
      <c r="Q15" s="230">
        <f t="shared" si="9"/>
        <v>2.3032407407407411E-3</v>
      </c>
      <c r="R15" s="233"/>
    </row>
    <row r="16" spans="1:18" ht="14.1" customHeight="1">
      <c r="A16">
        <f t="shared" si="2"/>
        <v>56</v>
      </c>
      <c r="B16">
        <f t="shared" si="3"/>
        <v>43</v>
      </c>
      <c r="C16" s="152">
        <f>'Sign-On'!A19</f>
        <v>9</v>
      </c>
      <c r="D16" s="142" t="str">
        <f>'Sign-On'!B19</f>
        <v>Fiona Barrett</v>
      </c>
      <c r="E16" s="142" t="str">
        <f>'Sign-On'!D19</f>
        <v>Inverness Cycle Club</v>
      </c>
      <c r="F16" s="142" t="str">
        <f>'Sign-On'!H19</f>
        <v>1121741</v>
      </c>
      <c r="G16" s="143" t="str">
        <f>'Sign-On'!F19</f>
        <v>FV</v>
      </c>
      <c r="H16" s="153">
        <f t="shared" si="10"/>
        <v>0.38124999999999998</v>
      </c>
      <c r="I16" s="154">
        <v>0.40329861111111109</v>
      </c>
      <c r="J16" s="155">
        <f t="shared" si="4"/>
        <v>2.2048611111111116E-2</v>
      </c>
      <c r="K16" s="189">
        <f t="shared" si="5"/>
        <v>2.2048627111111115E-2</v>
      </c>
      <c r="L16" s="155">
        <f t="shared" si="0"/>
        <v>7.2749645989447671E-3</v>
      </c>
      <c r="M16" s="155">
        <f t="shared" si="6"/>
        <v>1.4773646512166349E-2</v>
      </c>
      <c r="N16" s="189">
        <f t="shared" si="7"/>
        <v>1.4773662512166349E-2</v>
      </c>
      <c r="O16" s="155">
        <f t="shared" si="1"/>
        <v>2.0937500000000001E-2</v>
      </c>
      <c r="P16" s="145" t="str">
        <f t="shared" si="8"/>
        <v>-</v>
      </c>
      <c r="Q16" s="230">
        <f t="shared" si="9"/>
        <v>1.1111111111111148E-3</v>
      </c>
      <c r="R16" s="233"/>
    </row>
    <row r="17" spans="1:18" ht="14.1" customHeight="1">
      <c r="A17" t="e">
        <f t="shared" si="2"/>
        <v>#VALUE!</v>
      </c>
      <c r="B17" t="e">
        <f t="shared" si="3"/>
        <v>#VALUE!</v>
      </c>
      <c r="C17" s="152">
        <f>'Sign-On'!A20</f>
        <v>10</v>
      </c>
      <c r="D17" s="142" t="str">
        <f>'Sign-On'!B20</f>
        <v>Mark Walker</v>
      </c>
      <c r="E17" s="142" t="str">
        <f>'Sign-On'!D20</f>
        <v>Deeside Thistle CC</v>
      </c>
      <c r="F17" s="142" t="str">
        <f>'Sign-On'!H20</f>
        <v>1071246</v>
      </c>
      <c r="G17" s="143" t="str">
        <f>'Sign-On'!F20</f>
        <v>V</v>
      </c>
      <c r="H17" s="153">
        <f t="shared" si="10"/>
        <v>0.38194444444444442</v>
      </c>
      <c r="I17" s="154"/>
      <c r="J17" s="155" t="str">
        <f t="shared" si="4"/>
        <v/>
      </c>
      <c r="K17" s="189" t="str">
        <f t="shared" si="5"/>
        <v/>
      </c>
      <c r="L17" s="155">
        <f t="shared" si="0"/>
        <v>7.3018697516742095E-4</v>
      </c>
      <c r="M17" s="155" t="str">
        <f t="shared" si="6"/>
        <v/>
      </c>
      <c r="N17" s="189" t="str">
        <f t="shared" si="7"/>
        <v/>
      </c>
      <c r="O17" s="155">
        <f t="shared" si="1"/>
        <v>1.8622685185185187E-2</v>
      </c>
      <c r="P17" s="145" t="str">
        <f t="shared" si="8"/>
        <v/>
      </c>
      <c r="Q17" s="230" t="str">
        <f t="shared" si="9"/>
        <v/>
      </c>
      <c r="R17" s="233"/>
    </row>
    <row r="18" spans="1:18" ht="14.1" customHeight="1">
      <c r="A18">
        <f t="shared" si="2"/>
        <v>38</v>
      </c>
      <c r="B18">
        <f t="shared" si="3"/>
        <v>6</v>
      </c>
      <c r="C18" s="152">
        <f>'Sign-On'!A21</f>
        <v>11</v>
      </c>
      <c r="D18" s="142" t="str">
        <f>'Sign-On'!B21</f>
        <v>Breagha Beaton</v>
      </c>
      <c r="E18" s="142" t="str">
        <f>'Sign-On'!D21</f>
        <v>Moray Firth Cycling Club</v>
      </c>
      <c r="F18" s="142" t="str">
        <f>'Sign-On'!H21</f>
        <v>1726711</v>
      </c>
      <c r="G18" s="143" t="str">
        <f>'Sign-On'!F21</f>
        <v>F</v>
      </c>
      <c r="H18" s="153">
        <f t="shared" si="10"/>
        <v>0.38263888888888886</v>
      </c>
      <c r="I18" s="154">
        <v>0.40008101851851852</v>
      </c>
      <c r="J18" s="155">
        <f t="shared" si="4"/>
        <v>1.7442129629629655E-2</v>
      </c>
      <c r="K18" s="189">
        <f t="shared" si="5"/>
        <v>1.7442147629629656E-2</v>
      </c>
      <c r="L18" s="155">
        <f t="shared" si="0"/>
        <v>3.8434738785409523E-3</v>
      </c>
      <c r="M18" s="155">
        <f t="shared" si="6"/>
        <v>1.3598655751088703E-2</v>
      </c>
      <c r="N18" s="189">
        <f t="shared" si="7"/>
        <v>1.3598673751088702E-2</v>
      </c>
      <c r="O18" s="155" t="str">
        <f t="shared" si="1"/>
        <v/>
      </c>
      <c r="P18" s="145" t="str">
        <f t="shared" si="8"/>
        <v/>
      </c>
      <c r="Q18" s="230" t="str">
        <f t="shared" si="9"/>
        <v/>
      </c>
      <c r="R18" s="233"/>
    </row>
    <row r="19" spans="1:18" ht="14.1" customHeight="1">
      <c r="A19">
        <f t="shared" si="2"/>
        <v>42</v>
      </c>
      <c r="B19">
        <f t="shared" si="3"/>
        <v>7</v>
      </c>
      <c r="C19" s="152">
        <f>'Sign-On'!A22</f>
        <v>12</v>
      </c>
      <c r="D19" s="142" t="str">
        <f>'Sign-On'!B22</f>
        <v>Ruth Jeays</v>
      </c>
      <c r="E19" s="142" t="str">
        <f>'Sign-On'!D22</f>
        <v>Revolution CT</v>
      </c>
      <c r="F19" s="142" t="str">
        <f>'Sign-On'!H22</f>
        <v>1009647</v>
      </c>
      <c r="G19" s="143" t="str">
        <f>'Sign-On'!F22</f>
        <v>FV</v>
      </c>
      <c r="H19" s="153">
        <f t="shared" si="10"/>
        <v>0.3833333333333333</v>
      </c>
      <c r="I19" s="154">
        <v>0.4010185185185185</v>
      </c>
      <c r="J19" s="155">
        <f t="shared" si="4"/>
        <v>1.7685185185185193E-2</v>
      </c>
      <c r="K19" s="189">
        <f t="shared" si="5"/>
        <v>1.7685204185185193E-2</v>
      </c>
      <c r="L19" s="155">
        <f t="shared" si="0"/>
        <v>4.00917506393171E-3</v>
      </c>
      <c r="M19" s="155">
        <f t="shared" si="6"/>
        <v>1.3676010121253482E-2</v>
      </c>
      <c r="N19" s="189">
        <f t="shared" si="7"/>
        <v>1.3676029121253482E-2</v>
      </c>
      <c r="O19" s="155">
        <f t="shared" si="1"/>
        <v>1.9803240740740739E-2</v>
      </c>
      <c r="P19" s="145" t="str">
        <f t="shared" si="8"/>
        <v>+</v>
      </c>
      <c r="Q19" s="230">
        <f t="shared" si="9"/>
        <v>2.1180555555555466E-3</v>
      </c>
      <c r="R19" s="233"/>
    </row>
    <row r="20" spans="1:18" ht="14.1" customHeight="1">
      <c r="A20">
        <f t="shared" si="2"/>
        <v>30</v>
      </c>
      <c r="B20">
        <f t="shared" si="3"/>
        <v>35</v>
      </c>
      <c r="C20" s="152">
        <f>'Sign-On'!A23</f>
        <v>13</v>
      </c>
      <c r="D20" s="142" t="str">
        <f>'Sign-On'!B23</f>
        <v>Gillies Grant</v>
      </c>
      <c r="E20" s="142" t="str">
        <f>'Sign-On'!D23</f>
        <v>Forres CC</v>
      </c>
      <c r="F20" s="142" t="str">
        <f>'Sign-On'!H23</f>
        <v>1711884</v>
      </c>
      <c r="G20" s="143" t="str">
        <f>'Sign-On'!F23</f>
        <v>S</v>
      </c>
      <c r="H20" s="153">
        <f t="shared" si="10"/>
        <v>0.38402777777777775</v>
      </c>
      <c r="I20" s="154">
        <v>0.40069444444444446</v>
      </c>
      <c r="J20" s="155">
        <f t="shared" si="4"/>
        <v>1.6666666666666718E-2</v>
      </c>
      <c r="K20" s="189">
        <f t="shared" si="5"/>
        <v>1.6666686666666718E-2</v>
      </c>
      <c r="L20" s="155">
        <f t="shared" si="0"/>
        <v>2.166056580379945E-3</v>
      </c>
      <c r="M20" s="155">
        <f t="shared" si="6"/>
        <v>1.4500610086286773E-2</v>
      </c>
      <c r="N20" s="189">
        <f t="shared" si="7"/>
        <v>1.4500630086286773E-2</v>
      </c>
      <c r="O20" s="155" t="str">
        <f t="shared" si="1"/>
        <v/>
      </c>
      <c r="P20" s="145" t="str">
        <f t="shared" si="8"/>
        <v/>
      </c>
      <c r="Q20" s="230" t="str">
        <f t="shared" si="9"/>
        <v/>
      </c>
      <c r="R20" s="233"/>
    </row>
    <row r="21" spans="1:18" ht="14.1" customHeight="1">
      <c r="A21">
        <f t="shared" si="2"/>
        <v>31</v>
      </c>
      <c r="B21">
        <f t="shared" si="3"/>
        <v>13</v>
      </c>
      <c r="C21" s="152">
        <f>'Sign-On'!A24</f>
        <v>14</v>
      </c>
      <c r="D21" s="142" t="str">
        <f>'Sign-On'!B24</f>
        <v>Michael Mcinnes</v>
      </c>
      <c r="E21" s="142" t="str">
        <f>'Sign-On'!D24</f>
        <v>Moray Firth Cycling Club</v>
      </c>
      <c r="F21" s="142" t="str">
        <f>'Sign-On'!H24</f>
        <v>1807438</v>
      </c>
      <c r="G21" s="143" t="str">
        <f>'Sign-On'!F24</f>
        <v>V</v>
      </c>
      <c r="H21" s="153">
        <f t="shared" si="10"/>
        <v>0.38472222222222219</v>
      </c>
      <c r="I21" s="154">
        <v>0.40140046296296295</v>
      </c>
      <c r="J21" s="155">
        <f t="shared" si="4"/>
        <v>1.6678240740740757E-2</v>
      </c>
      <c r="K21" s="189">
        <f t="shared" si="5"/>
        <v>1.6678261740740757E-2</v>
      </c>
      <c r="L21" s="155">
        <f t="shared" si="0"/>
        <v>2.7749209170047861E-3</v>
      </c>
      <c r="M21" s="155">
        <f t="shared" si="6"/>
        <v>1.3903319823735971E-2</v>
      </c>
      <c r="N21" s="189">
        <f t="shared" si="7"/>
        <v>1.390334082373597E-2</v>
      </c>
      <c r="O21" s="155">
        <f t="shared" si="1"/>
        <v>1.8252314814814815E-2</v>
      </c>
      <c r="P21" s="145" t="str">
        <f t="shared" si="8"/>
        <v>+</v>
      </c>
      <c r="Q21" s="230">
        <f t="shared" si="9"/>
        <v>1.5740740740740576E-3</v>
      </c>
      <c r="R21" s="233"/>
    </row>
    <row r="22" spans="1:18" ht="14.1" customHeight="1">
      <c r="A22">
        <f t="shared" si="2"/>
        <v>8</v>
      </c>
      <c r="B22">
        <f t="shared" si="3"/>
        <v>19</v>
      </c>
      <c r="C22" s="152">
        <f>'Sign-On'!A25</f>
        <v>15</v>
      </c>
      <c r="D22" s="142" t="str">
        <f>'Sign-On'!B25</f>
        <v>Alasdair Munro</v>
      </c>
      <c r="E22" s="142" t="str">
        <f>'Sign-On'!D25</f>
        <v>RT23</v>
      </c>
      <c r="F22" s="142" t="str">
        <f>'Sign-On'!H25</f>
        <v>1108729</v>
      </c>
      <c r="G22" s="143" t="str">
        <f>'Sign-On'!F25</f>
        <v>S</v>
      </c>
      <c r="H22" s="153">
        <f t="shared" si="10"/>
        <v>0.38541666666666663</v>
      </c>
      <c r="I22" s="154">
        <v>0.40003472222222225</v>
      </c>
      <c r="J22" s="155">
        <f t="shared" si="4"/>
        <v>1.461805555555562E-2</v>
      </c>
      <c r="K22" s="189">
        <f t="shared" si="5"/>
        <v>1.4618077555555621E-2</v>
      </c>
      <c r="L22" s="155">
        <f t="shared" si="0"/>
        <v>6.438888194885493E-4</v>
      </c>
      <c r="M22" s="155">
        <f t="shared" si="6"/>
        <v>1.3974166736067072E-2</v>
      </c>
      <c r="N22" s="189">
        <f t="shared" si="7"/>
        <v>1.3974188736067072E-2</v>
      </c>
      <c r="O22" s="155" t="str">
        <f t="shared" si="1"/>
        <v/>
      </c>
      <c r="P22" s="145" t="str">
        <f t="shared" si="8"/>
        <v/>
      </c>
      <c r="Q22" s="230" t="str">
        <f t="shared" si="9"/>
        <v/>
      </c>
      <c r="R22" s="233"/>
    </row>
    <row r="23" spans="1:18" ht="14.1" customHeight="1">
      <c r="A23" t="e">
        <f t="shared" si="2"/>
        <v>#VALUE!</v>
      </c>
      <c r="B23" t="e">
        <f t="shared" si="3"/>
        <v>#VALUE!</v>
      </c>
      <c r="C23" s="152">
        <f>'Sign-On'!A26</f>
        <v>16</v>
      </c>
      <c r="D23" s="142" t="str">
        <f>'Sign-On'!B26</f>
        <v>Rhoda Kennedy</v>
      </c>
      <c r="E23" s="142" t="str">
        <f>'Sign-On'!D26</f>
        <v>Ross-Shire RCC</v>
      </c>
      <c r="F23" s="142" t="str">
        <f>'Sign-On'!H26</f>
        <v>1382055</v>
      </c>
      <c r="G23" s="143" t="str">
        <f>'Sign-On'!F26</f>
        <v>FV</v>
      </c>
      <c r="H23" s="153">
        <f t="shared" si="10"/>
        <v>0.38611111111111107</v>
      </c>
      <c r="I23" s="154"/>
      <c r="J23" s="155" t="str">
        <f t="shared" si="4"/>
        <v/>
      </c>
      <c r="K23" s="189" t="str">
        <f t="shared" si="5"/>
        <v/>
      </c>
      <c r="L23" s="155">
        <f t="shared" si="0"/>
        <v>4.7494902191702552E-3</v>
      </c>
      <c r="M23" s="155" t="str">
        <f t="shared" si="6"/>
        <v/>
      </c>
      <c r="N23" s="189" t="str">
        <f t="shared" si="7"/>
        <v/>
      </c>
      <c r="O23" s="155">
        <f t="shared" si="1"/>
        <v>2.0046296296296295E-2</v>
      </c>
      <c r="P23" s="145" t="str">
        <f t="shared" si="8"/>
        <v/>
      </c>
      <c r="Q23" s="230" t="str">
        <f t="shared" si="9"/>
        <v/>
      </c>
      <c r="R23" s="233"/>
    </row>
    <row r="24" spans="1:18" ht="14.1" customHeight="1">
      <c r="A24">
        <f t="shared" si="2"/>
        <v>15</v>
      </c>
      <c r="B24">
        <f t="shared" si="3"/>
        <v>5</v>
      </c>
      <c r="C24" s="152">
        <f>'Sign-On'!A27</f>
        <v>17</v>
      </c>
      <c r="D24" s="142" t="str">
        <f>'Sign-On'!B27</f>
        <v>Kenneth McKenzie</v>
      </c>
      <c r="E24" s="142" t="str">
        <f>'Sign-On'!D27</f>
        <v>Ross-Shire RCC</v>
      </c>
      <c r="F24" s="142" t="str">
        <f>'Sign-On'!H27</f>
        <v>1823463</v>
      </c>
      <c r="G24" s="143" t="str">
        <f>'Sign-On'!F27</f>
        <v>V</v>
      </c>
      <c r="H24" s="153">
        <f t="shared" si="10"/>
        <v>0.38680555555555551</v>
      </c>
      <c r="I24" s="154">
        <v>0.40248842592592593</v>
      </c>
      <c r="J24" s="155">
        <f t="shared" si="4"/>
        <v>1.5682870370370416E-2</v>
      </c>
      <c r="K24" s="189">
        <f t="shared" si="5"/>
        <v>1.5682894370370418E-2</v>
      </c>
      <c r="L24" s="155">
        <f t="shared" si="0"/>
        <v>2.1161905701622256E-3</v>
      </c>
      <c r="M24" s="155">
        <f t="shared" si="6"/>
        <v>1.3566679800208191E-2</v>
      </c>
      <c r="N24" s="189">
        <f t="shared" si="7"/>
        <v>1.3566703800208191E-2</v>
      </c>
      <c r="O24" s="155">
        <f t="shared" si="1"/>
        <v>1.8726851851851852E-2</v>
      </c>
      <c r="P24" s="145" t="str">
        <f t="shared" si="8"/>
        <v>+</v>
      </c>
      <c r="Q24" s="230">
        <f t="shared" si="9"/>
        <v>3.0439814814814357E-3</v>
      </c>
      <c r="R24" s="233"/>
    </row>
    <row r="25" spans="1:18" ht="14.1" customHeight="1">
      <c r="A25">
        <f t="shared" si="2"/>
        <v>41</v>
      </c>
      <c r="B25">
        <f t="shared" si="3"/>
        <v>45</v>
      </c>
      <c r="C25" s="152">
        <f>'Sign-On'!A28</f>
        <v>18</v>
      </c>
      <c r="D25" s="142" t="str">
        <f>'Sign-On'!B28</f>
        <v>Ian Grant</v>
      </c>
      <c r="E25" s="142" t="str">
        <f>'Sign-On'!D28</f>
        <v>Deeside Thistle CC</v>
      </c>
      <c r="F25" s="142" t="str">
        <f>'Sign-On'!H28</f>
        <v>460001</v>
      </c>
      <c r="G25" s="143" t="str">
        <f>'Sign-On'!F28</f>
        <v>V</v>
      </c>
      <c r="H25" s="153">
        <f t="shared" si="10"/>
        <v>0.38749999999999996</v>
      </c>
      <c r="I25" s="154">
        <v>0.40509259259259262</v>
      </c>
      <c r="J25" s="155">
        <f t="shared" si="4"/>
        <v>1.759259259259266E-2</v>
      </c>
      <c r="K25" s="189">
        <f t="shared" si="5"/>
        <v>1.759261759259266E-2</v>
      </c>
      <c r="L25" s="155">
        <f t="shared" si="0"/>
        <v>2.7361496946976495E-3</v>
      </c>
      <c r="M25" s="155">
        <f t="shared" si="6"/>
        <v>1.4856442897895009E-2</v>
      </c>
      <c r="N25" s="189">
        <f t="shared" si="7"/>
        <v>1.485646789789501E-2</v>
      </c>
      <c r="O25" s="155">
        <f t="shared" si="1"/>
        <v>1.9270833333333334E-2</v>
      </c>
      <c r="P25" s="145" t="str">
        <f t="shared" si="8"/>
        <v>+</v>
      </c>
      <c r="Q25" s="230">
        <f t="shared" si="9"/>
        <v>1.6782407407406746E-3</v>
      </c>
      <c r="R25" s="233"/>
    </row>
    <row r="26" spans="1:18" ht="14.1" customHeight="1">
      <c r="A26">
        <f t="shared" si="2"/>
        <v>49</v>
      </c>
      <c r="B26">
        <f t="shared" si="3"/>
        <v>1</v>
      </c>
      <c r="C26" s="152">
        <f>'Sign-On'!A29</f>
        <v>19</v>
      </c>
      <c r="D26" s="142" t="str">
        <f>'Sign-On'!B29</f>
        <v>Zoe Newsam</v>
      </c>
      <c r="E26" s="142" t="str">
        <f>'Sign-On'!D29</f>
        <v>Scottish Veterans T.T.A.</v>
      </c>
      <c r="F26" s="142" t="str">
        <f>'Sign-On'!H29</f>
        <v>920951</v>
      </c>
      <c r="G26" s="143" t="str">
        <f>'Sign-On'!F29</f>
        <v>FV</v>
      </c>
      <c r="H26" s="153">
        <f t="shared" si="10"/>
        <v>0.3881944444444444</v>
      </c>
      <c r="I26" s="154">
        <v>0.40768518518518521</v>
      </c>
      <c r="J26" s="155">
        <f t="shared" si="4"/>
        <v>1.9490740740740808E-2</v>
      </c>
      <c r="K26" s="189">
        <f t="shared" si="5"/>
        <v>1.9490766740740809E-2</v>
      </c>
      <c r="L26" s="155">
        <f t="shared" si="0"/>
        <v>6.9293103938308951E-3</v>
      </c>
      <c r="M26" s="155">
        <f t="shared" si="6"/>
        <v>1.2561430346909912E-2</v>
      </c>
      <c r="N26" s="189">
        <f t="shared" si="7"/>
        <v>1.2561456346909913E-2</v>
      </c>
      <c r="O26" s="155">
        <f t="shared" si="1"/>
        <v>2.0208333333333332E-2</v>
      </c>
      <c r="P26" s="145" t="str">
        <f t="shared" si="8"/>
        <v>+</v>
      </c>
      <c r="Q26" s="230">
        <f t="shared" si="9"/>
        <v>7.175925925925232E-4</v>
      </c>
      <c r="R26" s="233"/>
    </row>
    <row r="27" spans="1:18" ht="14.1" customHeight="1">
      <c r="A27">
        <f t="shared" si="2"/>
        <v>26</v>
      </c>
      <c r="B27">
        <f t="shared" si="3"/>
        <v>51</v>
      </c>
      <c r="C27" s="152">
        <f>'Sign-On'!A30</f>
        <v>20</v>
      </c>
      <c r="D27" s="142" t="str">
        <f>'Sign-On'!B30</f>
        <v>Jeremy Hubbard</v>
      </c>
      <c r="E27" s="142" t="str">
        <f>'Sign-On'!D30</f>
        <v>Cairngorm CC</v>
      </c>
      <c r="F27" s="142" t="str">
        <f>'Sign-On'!H30</f>
        <v>1267380</v>
      </c>
      <c r="G27" s="143" t="str">
        <f>'Sign-On'!F30</f>
        <v>S</v>
      </c>
      <c r="H27" s="153">
        <f t="shared" si="10"/>
        <v>0.38888888888888884</v>
      </c>
      <c r="I27" s="154">
        <v>0.40534722222222225</v>
      </c>
      <c r="J27" s="155">
        <f t="shared" si="4"/>
        <v>1.6458333333333408E-2</v>
      </c>
      <c r="K27" s="189">
        <f t="shared" si="5"/>
        <v>1.6458360333333408E-2</v>
      </c>
      <c r="L27" s="155">
        <f t="shared" si="0"/>
        <v>5.3530810974179168E-4</v>
      </c>
      <c r="M27" s="155">
        <f t="shared" si="6"/>
        <v>1.5923025223591618E-2</v>
      </c>
      <c r="N27" s="189">
        <f t="shared" si="7"/>
        <v>1.5923052223591617E-2</v>
      </c>
      <c r="O27" s="155" t="str">
        <f t="shared" si="1"/>
        <v/>
      </c>
      <c r="P27" s="145" t="str">
        <f t="shared" si="8"/>
        <v/>
      </c>
      <c r="Q27" s="230" t="str">
        <f t="shared" si="9"/>
        <v/>
      </c>
      <c r="R27" s="233"/>
    </row>
    <row r="28" spans="1:18" ht="14.1" customHeight="1">
      <c r="A28">
        <f t="shared" si="2"/>
        <v>44</v>
      </c>
      <c r="B28">
        <f t="shared" si="3"/>
        <v>9</v>
      </c>
      <c r="C28" s="152">
        <f>'Sign-On'!A31</f>
        <v>21</v>
      </c>
      <c r="D28" s="142" t="str">
        <f>'Sign-On'!B31</f>
        <v>Amy Renwick</v>
      </c>
      <c r="E28" s="142" t="str">
        <f>'Sign-On'!D31</f>
        <v>Moray Firth Cycling Club</v>
      </c>
      <c r="F28" s="142" t="str">
        <f>'Sign-On'!H31</f>
        <v>1553215</v>
      </c>
      <c r="G28" s="143" t="str">
        <f>'Sign-On'!F31</f>
        <v>F</v>
      </c>
      <c r="H28" s="153">
        <f t="shared" si="10"/>
        <v>0.38958333333333328</v>
      </c>
      <c r="I28" s="154">
        <v>0.40743055555555557</v>
      </c>
      <c r="J28" s="155">
        <f t="shared" si="4"/>
        <v>1.7847222222222292E-2</v>
      </c>
      <c r="K28" s="189">
        <f t="shared" si="5"/>
        <v>1.7847250222222291E-2</v>
      </c>
      <c r="L28" s="155">
        <f t="shared" si="0"/>
        <v>4.0915844748340389E-3</v>
      </c>
      <c r="M28" s="155">
        <f t="shared" si="6"/>
        <v>1.3755637747388253E-2</v>
      </c>
      <c r="N28" s="189">
        <f t="shared" si="7"/>
        <v>1.3755665747388252E-2</v>
      </c>
      <c r="O28" s="155" t="str">
        <f t="shared" si="1"/>
        <v/>
      </c>
      <c r="P28" s="145" t="str">
        <f t="shared" si="8"/>
        <v/>
      </c>
      <c r="Q28" s="230" t="str">
        <f t="shared" si="9"/>
        <v/>
      </c>
      <c r="R28" s="233"/>
    </row>
    <row r="29" spans="1:18" ht="14.1" customHeight="1">
      <c r="A29" t="e">
        <f t="shared" si="2"/>
        <v>#VALUE!</v>
      </c>
      <c r="B29" t="e">
        <f t="shared" si="3"/>
        <v>#VALUE!</v>
      </c>
      <c r="C29" s="152">
        <f>'Sign-On'!A32</f>
        <v>22</v>
      </c>
      <c r="D29" s="142" t="str">
        <f>'Sign-On'!B32</f>
        <v>Eva Murphy</v>
      </c>
      <c r="E29" s="142" t="str">
        <f>'Sign-On'!D32</f>
        <v>Deeside Thistle CC</v>
      </c>
      <c r="F29" s="142" t="str">
        <f>'Sign-On'!H32</f>
        <v>1346462</v>
      </c>
      <c r="G29" s="143" t="str">
        <f>'Sign-On'!F32</f>
        <v>JF</v>
      </c>
      <c r="H29" s="153">
        <f t="shared" si="10"/>
        <v>0.39027777777777772</v>
      </c>
      <c r="I29" s="154"/>
      <c r="J29" s="155" t="str">
        <f t="shared" si="4"/>
        <v/>
      </c>
      <c r="K29" s="189" t="str">
        <f t="shared" si="5"/>
        <v/>
      </c>
      <c r="L29" s="155">
        <f t="shared" si="0"/>
        <v>3.7137702481604322E-3</v>
      </c>
      <c r="M29" s="155" t="str">
        <f t="shared" si="6"/>
        <v/>
      </c>
      <c r="N29" s="189" t="str">
        <f t="shared" si="7"/>
        <v/>
      </c>
      <c r="O29" s="155" t="str">
        <f t="shared" si="1"/>
        <v/>
      </c>
      <c r="P29" s="145" t="str">
        <f t="shared" si="8"/>
        <v/>
      </c>
      <c r="Q29" s="230" t="str">
        <f t="shared" si="9"/>
        <v/>
      </c>
      <c r="R29" s="233"/>
    </row>
    <row r="30" spans="1:18" ht="14.1" customHeight="1">
      <c r="A30">
        <f t="shared" si="2"/>
        <v>23</v>
      </c>
      <c r="B30">
        <f t="shared" si="3"/>
        <v>24</v>
      </c>
      <c r="C30" s="152">
        <f>'Sign-On'!A33</f>
        <v>23</v>
      </c>
      <c r="D30" s="142" t="str">
        <f>'Sign-On'!B33</f>
        <v>Millie Thomson</v>
      </c>
      <c r="E30" s="142" t="str">
        <f>'Sign-On'!D33</f>
        <v>Solas Cycling</v>
      </c>
      <c r="F30" s="142" t="str">
        <f>'Sign-On'!H33</f>
        <v>1151288</v>
      </c>
      <c r="G30" s="143" t="str">
        <f>'Sign-On'!F33</f>
        <v>F</v>
      </c>
      <c r="H30" s="153">
        <f t="shared" si="10"/>
        <v>0.39097222222222217</v>
      </c>
      <c r="I30" s="154">
        <v>0.40717592592592594</v>
      </c>
      <c r="J30" s="155">
        <f t="shared" si="4"/>
        <v>1.6203703703703776E-2</v>
      </c>
      <c r="K30" s="189">
        <f t="shared" si="5"/>
        <v>1.6203733703703777E-2</v>
      </c>
      <c r="L30" s="155">
        <f t="shared" si="0"/>
        <v>2.0862138352635323E-3</v>
      </c>
      <c r="M30" s="155">
        <f t="shared" si="6"/>
        <v>1.4117489868440244E-2</v>
      </c>
      <c r="N30" s="189">
        <f t="shared" si="7"/>
        <v>1.4117519868440244E-2</v>
      </c>
      <c r="O30" s="155" t="str">
        <f t="shared" si="1"/>
        <v/>
      </c>
      <c r="P30" s="145" t="str">
        <f t="shared" si="8"/>
        <v/>
      </c>
      <c r="Q30" s="230" t="str">
        <f t="shared" si="9"/>
        <v/>
      </c>
      <c r="R30" s="233"/>
    </row>
    <row r="31" spans="1:18" ht="14.1" customHeight="1">
      <c r="A31" t="e">
        <f t="shared" si="2"/>
        <v>#VALUE!</v>
      </c>
      <c r="B31" t="e">
        <f t="shared" si="3"/>
        <v>#VALUE!</v>
      </c>
      <c r="C31" s="152">
        <f>'Sign-On'!A34</f>
        <v>24</v>
      </c>
      <c r="D31" s="142" t="str">
        <f>'Sign-On'!B34</f>
        <v>Malcolm Grant</v>
      </c>
      <c r="E31" s="142" t="str">
        <f>'Sign-On'!D34</f>
        <v>Pedal Power Inverurie</v>
      </c>
      <c r="F31" s="142" t="str">
        <f>'Sign-On'!H34</f>
        <v>201791</v>
      </c>
      <c r="G31" s="143" t="str">
        <f>'Sign-On'!F34</f>
        <v>V</v>
      </c>
      <c r="H31" s="153">
        <f t="shared" si="10"/>
        <v>0.39166666666666661</v>
      </c>
      <c r="I31" s="154"/>
      <c r="J31" s="155" t="str">
        <f t="shared" si="4"/>
        <v/>
      </c>
      <c r="K31" s="189" t="str">
        <f t="shared" si="5"/>
        <v/>
      </c>
      <c r="L31" s="155">
        <f t="shared" si="0"/>
        <v>2.8232894406747446E-3</v>
      </c>
      <c r="M31" s="155" t="str">
        <f t="shared" si="6"/>
        <v/>
      </c>
      <c r="N31" s="189" t="str">
        <f t="shared" si="7"/>
        <v/>
      </c>
      <c r="O31" s="155">
        <f t="shared" si="1"/>
        <v>1.8680555555555554E-2</v>
      </c>
      <c r="P31" s="145" t="str">
        <f t="shared" si="8"/>
        <v/>
      </c>
      <c r="Q31" s="230" t="str">
        <f t="shared" si="9"/>
        <v/>
      </c>
      <c r="R31" s="233"/>
    </row>
    <row r="32" spans="1:18" ht="14.1" customHeight="1">
      <c r="A32" t="e">
        <f t="shared" si="2"/>
        <v>#VALUE!</v>
      </c>
      <c r="B32" t="e">
        <f t="shared" si="3"/>
        <v>#VALUE!</v>
      </c>
      <c r="C32" s="152">
        <f>'Sign-On'!A35</f>
        <v>25</v>
      </c>
      <c r="D32" s="142" t="str">
        <f>'Sign-On'!B35</f>
        <v>Lewis Dey</v>
      </c>
      <c r="E32" s="142" t="str">
        <f>'Sign-On'!D35</f>
        <v>RT23</v>
      </c>
      <c r="F32" s="142" t="str">
        <f>'Sign-On'!H35</f>
        <v>1446647</v>
      </c>
      <c r="G32" s="143" t="str">
        <f>'Sign-On'!F35</f>
        <v>S</v>
      </c>
      <c r="H32" s="153">
        <f t="shared" si="10"/>
        <v>0.39236111111111105</v>
      </c>
      <c r="I32" s="154"/>
      <c r="J32" s="155" t="str">
        <f t="shared" si="4"/>
        <v/>
      </c>
      <c r="K32" s="189" t="str">
        <f t="shared" si="5"/>
        <v/>
      </c>
      <c r="L32" s="155">
        <f t="shared" si="0"/>
        <v>4.8070533733010298E-4</v>
      </c>
      <c r="M32" s="155" t="str">
        <f t="shared" si="6"/>
        <v/>
      </c>
      <c r="N32" s="189" t="str">
        <f t="shared" si="7"/>
        <v/>
      </c>
      <c r="O32" s="155" t="str">
        <f t="shared" si="1"/>
        <v/>
      </c>
      <c r="P32" s="145" t="str">
        <f t="shared" si="8"/>
        <v/>
      </c>
      <c r="Q32" s="230" t="str">
        <f t="shared" si="9"/>
        <v/>
      </c>
      <c r="R32" s="233"/>
    </row>
    <row r="33" spans="1:18" ht="14.1" customHeight="1">
      <c r="A33">
        <f t="shared" si="2"/>
        <v>48</v>
      </c>
      <c r="B33">
        <f t="shared" si="3"/>
        <v>48</v>
      </c>
      <c r="C33" s="152">
        <f>'Sign-On'!A36</f>
        <v>26</v>
      </c>
      <c r="D33" s="142" t="str">
        <f>'Sign-On'!B36</f>
        <v>Innis Mitchell</v>
      </c>
      <c r="E33" s="142" t="str">
        <f>'Sign-On'!D36</f>
        <v>Ross-Shire RCC</v>
      </c>
      <c r="F33" s="142" t="str">
        <f>'Sign-On'!H36</f>
        <v>838764</v>
      </c>
      <c r="G33" s="143" t="str">
        <f>'Sign-On'!F36</f>
        <v>V</v>
      </c>
      <c r="H33" s="153">
        <f t="shared" si="10"/>
        <v>0.39305555555555549</v>
      </c>
      <c r="I33" s="154">
        <v>0.4117939814814815</v>
      </c>
      <c r="J33" s="155">
        <f t="shared" si="4"/>
        <v>1.8738425925926006E-2</v>
      </c>
      <c r="K33" s="189">
        <f t="shared" si="5"/>
        <v>1.8738458925926006E-2</v>
      </c>
      <c r="L33" s="155">
        <f t="shared" si="0"/>
        <v>3.4239414973733845E-3</v>
      </c>
      <c r="M33" s="155">
        <f t="shared" si="6"/>
        <v>1.531448442855262E-2</v>
      </c>
      <c r="N33" s="189">
        <f t="shared" si="7"/>
        <v>1.531451742855262E-2</v>
      </c>
      <c r="O33" s="155">
        <f t="shared" si="1"/>
        <v>2.1168981481481483E-2</v>
      </c>
      <c r="P33" s="145" t="str">
        <f t="shared" si="8"/>
        <v>+</v>
      </c>
      <c r="Q33" s="230">
        <f t="shared" si="9"/>
        <v>2.4305555555554775E-3</v>
      </c>
      <c r="R33" s="233"/>
    </row>
    <row r="34" spans="1:18" ht="14.1" customHeight="1">
      <c r="A34">
        <f t="shared" si="2"/>
        <v>19</v>
      </c>
      <c r="B34">
        <f t="shared" si="3"/>
        <v>23</v>
      </c>
      <c r="C34" s="152">
        <f>'Sign-On'!A37</f>
        <v>27</v>
      </c>
      <c r="D34" s="142" t="str">
        <f>'Sign-On'!B37</f>
        <v>Lorna Breetzke</v>
      </c>
      <c r="E34" s="142" t="str">
        <f>'Sign-On'!D37</f>
        <v>Elgin CC</v>
      </c>
      <c r="F34" s="142" t="str">
        <f>'Sign-On'!H37</f>
        <v>1494994</v>
      </c>
      <c r="G34" s="143" t="str">
        <f>'Sign-On'!F37</f>
        <v>FV</v>
      </c>
      <c r="H34" s="153">
        <f t="shared" si="10"/>
        <v>0.39374999999999993</v>
      </c>
      <c r="I34" s="154">
        <v>0.40979166666666667</v>
      </c>
      <c r="J34" s="155">
        <f t="shared" si="4"/>
        <v>1.6041666666666732E-2</v>
      </c>
      <c r="K34" s="189">
        <f t="shared" si="5"/>
        <v>1.6041700666666731E-2</v>
      </c>
      <c r="L34" s="155">
        <f t="shared" si="0"/>
        <v>1.9457473303597162E-3</v>
      </c>
      <c r="M34" s="155">
        <f t="shared" si="6"/>
        <v>1.4095919336307015E-2</v>
      </c>
      <c r="N34" s="189">
        <f t="shared" si="7"/>
        <v>1.4095953336307015E-2</v>
      </c>
      <c r="O34" s="155">
        <f t="shared" si="1"/>
        <v>1.9988425925925927E-2</v>
      </c>
      <c r="P34" s="145" t="str">
        <f t="shared" si="8"/>
        <v>+</v>
      </c>
      <c r="Q34" s="230">
        <f t="shared" si="9"/>
        <v>3.946759259259195E-3</v>
      </c>
      <c r="R34" s="233"/>
    </row>
    <row r="35" spans="1:18" ht="14.1" customHeight="1">
      <c r="A35">
        <f t="shared" si="2"/>
        <v>45</v>
      </c>
      <c r="B35">
        <f t="shared" si="3"/>
        <v>46</v>
      </c>
      <c r="C35" s="152">
        <f>'Sign-On'!A38</f>
        <v>28</v>
      </c>
      <c r="D35" s="142" t="str">
        <f>'Sign-On'!B38</f>
        <v>Phil Cameron</v>
      </c>
      <c r="E35" s="142" t="str">
        <f>'Sign-On'!D38</f>
        <v>Elgin CC</v>
      </c>
      <c r="F35" s="142" t="str">
        <f>'Sign-On'!H38</f>
        <v>1736632</v>
      </c>
      <c r="G35" s="143" t="str">
        <f>'Sign-On'!F38</f>
        <v>V</v>
      </c>
      <c r="H35" s="153">
        <f t="shared" si="10"/>
        <v>0.39444444444444438</v>
      </c>
      <c r="I35" s="154">
        <v>0.41238425925925926</v>
      </c>
      <c r="J35" s="155">
        <f>IF(I35="","",ROUND(I35-H35,14))</f>
        <v>1.7939814814809999E-2</v>
      </c>
      <c r="K35" s="189">
        <f t="shared" si="5"/>
        <v>1.7939849814809998E-2</v>
      </c>
      <c r="L35" s="155">
        <f t="shared" si="0"/>
        <v>3.0444389396025681E-3</v>
      </c>
      <c r="M35" s="155">
        <f t="shared" si="6"/>
        <v>1.4895375875207431E-2</v>
      </c>
      <c r="N35" s="189">
        <f t="shared" si="7"/>
        <v>1.4895410875207432E-2</v>
      </c>
      <c r="O35" s="155">
        <f t="shared" si="1"/>
        <v>1.8136574074074076E-2</v>
      </c>
      <c r="P35" s="145" t="str">
        <f t="shared" si="8"/>
        <v>+</v>
      </c>
      <c r="Q35" s="230">
        <f t="shared" si="9"/>
        <v>1.967592592640767E-4</v>
      </c>
      <c r="R35" s="233"/>
    </row>
    <row r="36" spans="1:18" ht="14.1" customHeight="1">
      <c r="A36">
        <f t="shared" si="2"/>
        <v>54</v>
      </c>
      <c r="B36">
        <f t="shared" si="3"/>
        <v>38</v>
      </c>
      <c r="C36" s="152">
        <f>'Sign-On'!A39</f>
        <v>29</v>
      </c>
      <c r="D36" s="142" t="str">
        <f>'Sign-On'!B39</f>
        <v>Christine Brumhead</v>
      </c>
      <c r="E36" s="142" t="str">
        <f>'Sign-On'!D39</f>
        <v>Inverness Cycle Club</v>
      </c>
      <c r="F36" s="142" t="str">
        <f>'Sign-On'!H39</f>
        <v>1760730</v>
      </c>
      <c r="G36" s="143" t="str">
        <f>'Sign-On'!F39</f>
        <v>FV</v>
      </c>
      <c r="H36" s="153">
        <f t="shared" si="10"/>
        <v>0.39513888888888882</v>
      </c>
      <c r="I36" s="154">
        <v>0.41651620370370368</v>
      </c>
      <c r="J36" s="155">
        <f>IF(I36="","",ROUND(I36-H36,14))</f>
        <v>2.1377314814809999E-2</v>
      </c>
      <c r="K36" s="189">
        <f t="shared" si="5"/>
        <v>2.1377350814809997E-2</v>
      </c>
      <c r="L36" s="155">
        <f t="shared" si="0"/>
        <v>6.7667657891126139E-3</v>
      </c>
      <c r="M36" s="155">
        <f t="shared" si="6"/>
        <v>1.4610549025697386E-2</v>
      </c>
      <c r="N36" s="189">
        <f t="shared" si="7"/>
        <v>1.4610585025697386E-2</v>
      </c>
      <c r="O36" s="155">
        <f t="shared" si="1"/>
        <v>2.162037037037037E-2</v>
      </c>
      <c r="P36" s="145" t="str">
        <f t="shared" si="8"/>
        <v>+</v>
      </c>
      <c r="Q36" s="230">
        <f t="shared" si="9"/>
        <v>2.4305555556037098E-4</v>
      </c>
      <c r="R36" s="233"/>
    </row>
    <row r="37" spans="1:18" ht="14.1" customHeight="1">
      <c r="A37">
        <f t="shared" si="2"/>
        <v>10</v>
      </c>
      <c r="B37">
        <f t="shared" si="3"/>
        <v>28</v>
      </c>
      <c r="C37" s="152">
        <f>'Sign-On'!A40</f>
        <v>30</v>
      </c>
      <c r="D37" s="142" t="str">
        <f>'Sign-On'!B40</f>
        <v>Tom Broadbent</v>
      </c>
      <c r="E37" s="142" t="str">
        <f>'Sign-On'!D40</f>
        <v>MGC RT</v>
      </c>
      <c r="F37" s="142" t="str">
        <f>'Sign-On'!H40</f>
        <v>441717</v>
      </c>
      <c r="G37" s="143" t="str">
        <f>'Sign-On'!F40</f>
        <v>V</v>
      </c>
      <c r="H37" s="153">
        <f t="shared" si="10"/>
        <v>0.39583333333333326</v>
      </c>
      <c r="I37" s="154">
        <v>0.41050925925925924</v>
      </c>
      <c r="J37" s="155">
        <f>IF(I37="","",ROUND(I37-H37,14))</f>
        <v>1.467592592593E-2</v>
      </c>
      <c r="K37" s="189">
        <f t="shared" si="5"/>
        <v>1.467596292593E-2</v>
      </c>
      <c r="L37" s="155">
        <f t="shared" si="0"/>
        <v>3.9287760200834891E-4</v>
      </c>
      <c r="M37" s="155">
        <f t="shared" si="6"/>
        <v>1.4283048323921651E-2</v>
      </c>
      <c r="N37" s="189">
        <f t="shared" si="7"/>
        <v>1.4283085323921651E-2</v>
      </c>
      <c r="O37" s="155">
        <f t="shared" si="1"/>
        <v>1.8310185185185186E-2</v>
      </c>
      <c r="P37" s="145" t="str">
        <f t="shared" si="8"/>
        <v>+</v>
      </c>
      <c r="Q37" s="230">
        <f t="shared" si="9"/>
        <v>3.6342592592551858E-3</v>
      </c>
      <c r="R37" s="233"/>
    </row>
    <row r="38" spans="1:18" ht="14.1" customHeight="1">
      <c r="A38">
        <f t="shared" si="2"/>
        <v>37</v>
      </c>
      <c r="B38">
        <f t="shared" si="3"/>
        <v>10</v>
      </c>
      <c r="C38" s="152">
        <f>'Sign-On'!A41</f>
        <v>31</v>
      </c>
      <c r="D38" s="142" t="str">
        <f>'Sign-On'!B41</f>
        <v>Angus Brumhead</v>
      </c>
      <c r="E38" s="142" t="str">
        <f>'Sign-On'!D41</f>
        <v>Inverness Cycle Club</v>
      </c>
      <c r="F38" s="142" t="str">
        <f>'Sign-On'!H41</f>
        <v>1760731</v>
      </c>
      <c r="G38" s="143" t="str">
        <f>'Sign-On'!F41</f>
        <v>V</v>
      </c>
      <c r="H38" s="153">
        <f t="shared" si="10"/>
        <v>0.3965277777777777</v>
      </c>
      <c r="I38" s="154">
        <v>0.41390046296296296</v>
      </c>
      <c r="J38" s="155">
        <f t="shared" si="4"/>
        <v>1.7372685185185255E-2</v>
      </c>
      <c r="K38" s="189">
        <f t="shared" si="5"/>
        <v>1.7372723185185256E-2</v>
      </c>
      <c r="L38" s="155">
        <f t="shared" si="0"/>
        <v>3.5646383919427749E-3</v>
      </c>
      <c r="M38" s="155">
        <f t="shared" si="6"/>
        <v>1.380804679324248E-2</v>
      </c>
      <c r="N38" s="189">
        <f t="shared" si="7"/>
        <v>1.380808479324248E-2</v>
      </c>
      <c r="O38" s="155">
        <f t="shared" si="1"/>
        <v>2.0659722222222222E-2</v>
      </c>
      <c r="P38" s="145" t="str">
        <f t="shared" si="8"/>
        <v>+</v>
      </c>
      <c r="Q38" s="230">
        <f t="shared" si="9"/>
        <v>3.2870370370369668E-3</v>
      </c>
      <c r="R38" s="233"/>
    </row>
    <row r="39" spans="1:18" ht="14.1" customHeight="1">
      <c r="A39">
        <f t="shared" si="2"/>
        <v>32</v>
      </c>
      <c r="B39">
        <f t="shared" si="3"/>
        <v>15</v>
      </c>
      <c r="C39" s="152">
        <f>'Sign-On'!A42</f>
        <v>32</v>
      </c>
      <c r="D39" s="142" t="str">
        <f>'Sign-On'!B42</f>
        <v>Kyle Cattanach</v>
      </c>
      <c r="E39" s="142" t="str">
        <f>'Sign-On'!D42</f>
        <v>Moray Firth Cycling Club</v>
      </c>
      <c r="F39" s="142" t="str">
        <f>'Sign-On'!H42</f>
        <v>1834071</v>
      </c>
      <c r="G39" s="143" t="str">
        <f>'Sign-On'!F42</f>
        <v>S</v>
      </c>
      <c r="H39" s="153">
        <f t="shared" si="10"/>
        <v>0.39722222222222214</v>
      </c>
      <c r="I39" s="154">
        <v>0.41423611111111114</v>
      </c>
      <c r="J39" s="155">
        <f t="shared" si="4"/>
        <v>1.7013888888888995E-2</v>
      </c>
      <c r="K39" s="189">
        <f t="shared" si="5"/>
        <v>1.7013927888888995E-2</v>
      </c>
      <c r="L39" s="155">
        <f t="shared" si="0"/>
        <v>3.0922268801499178E-3</v>
      </c>
      <c r="M39" s="155">
        <f t="shared" si="6"/>
        <v>1.3921662008739077E-2</v>
      </c>
      <c r="N39" s="189">
        <f t="shared" si="7"/>
        <v>1.3921701008739077E-2</v>
      </c>
      <c r="O39" s="155" t="str">
        <f t="shared" si="1"/>
        <v/>
      </c>
      <c r="P39" s="145" t="str">
        <f t="shared" si="8"/>
        <v/>
      </c>
      <c r="Q39" s="230" t="str">
        <f t="shared" si="9"/>
        <v/>
      </c>
      <c r="R39" s="233"/>
    </row>
    <row r="40" spans="1:18" ht="14.1" customHeight="1">
      <c r="A40">
        <f t="shared" si="2"/>
        <v>22</v>
      </c>
      <c r="B40">
        <f t="shared" si="3"/>
        <v>29</v>
      </c>
      <c r="C40" s="152">
        <f>'Sign-On'!A43</f>
        <v>33</v>
      </c>
      <c r="D40" s="142" t="str">
        <f>'Sign-On'!B43</f>
        <v>James Shewan</v>
      </c>
      <c r="E40" s="142" t="str">
        <f>'Sign-On'!D43</f>
        <v>Moray Firth Cycling Club</v>
      </c>
      <c r="F40" s="142" t="str">
        <f>'Sign-On'!H43</f>
        <v>1253402</v>
      </c>
      <c r="G40" s="143" t="str">
        <f>'Sign-On'!F43</f>
        <v>S</v>
      </c>
      <c r="H40" s="153">
        <f t="shared" si="10"/>
        <v>0.39791666666666659</v>
      </c>
      <c r="I40" s="154">
        <v>0.41410879629629632</v>
      </c>
      <c r="J40" s="155">
        <f t="shared" si="4"/>
        <v>1.6192129629629737E-2</v>
      </c>
      <c r="K40" s="189">
        <f t="shared" si="5"/>
        <v>1.6192169629629737E-2</v>
      </c>
      <c r="L40" s="155">
        <f t="shared" ref="L40:L71" si="11">IF(ISERROR(VLOOKUP(C40,Entrants,16,FALSE)),"",VLOOKUP(C40,Entrants,16,FALSE))</f>
        <v>1.9054374827382203E-3</v>
      </c>
      <c r="M40" s="155">
        <f t="shared" si="6"/>
        <v>1.4286692146891516E-2</v>
      </c>
      <c r="N40" s="189">
        <f t="shared" si="7"/>
        <v>1.4286732146891516E-2</v>
      </c>
      <c r="O40" s="155" t="str">
        <f t="shared" ref="O40:O71" si="12">IF(ISERROR(VLOOKUP(C40,Entrants,20,FALSE)),"",VLOOKUP(C40,Entrants,20,FALSE))</f>
        <v/>
      </c>
      <c r="P40" s="145" t="str">
        <f t="shared" si="8"/>
        <v/>
      </c>
      <c r="Q40" s="230" t="str">
        <f t="shared" si="9"/>
        <v/>
      </c>
      <c r="R40" s="233"/>
    </row>
    <row r="41" spans="1:18" ht="14.1" customHeight="1">
      <c r="A41">
        <f t="shared" si="2"/>
        <v>36</v>
      </c>
      <c r="B41">
        <f t="shared" si="3"/>
        <v>31</v>
      </c>
      <c r="C41" s="152">
        <f>'Sign-On'!A44</f>
        <v>34</v>
      </c>
      <c r="D41" s="142" t="str">
        <f>'Sign-On'!B44</f>
        <v>Andrew Paterson</v>
      </c>
      <c r="E41" s="142" t="str">
        <f>'Sign-On'!D44</f>
        <v>Elgin CC</v>
      </c>
      <c r="F41" s="142" t="str">
        <f>'Sign-On'!H44</f>
        <v>1820763</v>
      </c>
      <c r="G41" s="143" t="str">
        <f>'Sign-On'!F44</f>
        <v>JM</v>
      </c>
      <c r="H41" s="153">
        <f t="shared" si="10"/>
        <v>0.39861111111111103</v>
      </c>
      <c r="I41" s="154">
        <v>0.41584490740740743</v>
      </c>
      <c r="J41" s="155">
        <f t="shared" si="4"/>
        <v>1.72337962962964E-2</v>
      </c>
      <c r="K41" s="189">
        <f t="shared" si="5"/>
        <v>1.7233837296296399E-2</v>
      </c>
      <c r="L41" s="155">
        <f t="shared" si="11"/>
        <v>2.8715525803165737E-3</v>
      </c>
      <c r="M41" s="155">
        <f t="shared" si="6"/>
        <v>1.4362243715979826E-2</v>
      </c>
      <c r="N41" s="189">
        <f t="shared" si="7"/>
        <v>1.4362284715979825E-2</v>
      </c>
      <c r="O41" s="155" t="str">
        <f t="shared" si="12"/>
        <v/>
      </c>
      <c r="P41" s="145" t="str">
        <f t="shared" si="8"/>
        <v/>
      </c>
      <c r="Q41" s="230" t="str">
        <f t="shared" si="9"/>
        <v/>
      </c>
      <c r="R41" s="233"/>
    </row>
    <row r="42" spans="1:18" ht="14.1" customHeight="1">
      <c r="A42">
        <f t="shared" si="2"/>
        <v>7</v>
      </c>
      <c r="B42">
        <f t="shared" si="3"/>
        <v>27</v>
      </c>
      <c r="C42" s="152">
        <f>'Sign-On'!A45</f>
        <v>35</v>
      </c>
      <c r="D42" s="142" t="str">
        <f>'Sign-On'!B45</f>
        <v>Robin Atkinson</v>
      </c>
      <c r="E42" s="142" t="str">
        <f>'Sign-On'!D45</f>
        <v>Shetland Wheelers</v>
      </c>
      <c r="F42" s="142" t="str">
        <f>'Sign-On'!H45</f>
        <v>833363</v>
      </c>
      <c r="G42" s="143" t="str">
        <f>'Sign-On'!F45</f>
        <v>V</v>
      </c>
      <c r="H42" s="153">
        <f t="shared" si="10"/>
        <v>0.39930555555555547</v>
      </c>
      <c r="I42" s="154">
        <v>0.41390046296296296</v>
      </c>
      <c r="J42" s="155">
        <f t="shared" si="4"/>
        <v>1.4594907407407487E-2</v>
      </c>
      <c r="K42" s="189">
        <f t="shared" si="5"/>
        <v>1.4594949407407487E-2</v>
      </c>
      <c r="L42" s="155">
        <f t="shared" si="11"/>
        <v>3.3767717078433962E-4</v>
      </c>
      <c r="M42" s="155">
        <f t="shared" si="6"/>
        <v>1.4257230236623147E-2</v>
      </c>
      <c r="N42" s="189">
        <f t="shared" si="7"/>
        <v>1.4257272236623148E-2</v>
      </c>
      <c r="O42" s="155">
        <f t="shared" si="12"/>
        <v>1.8368055555555554E-2</v>
      </c>
      <c r="P42" s="145" t="str">
        <f t="shared" si="8"/>
        <v>+</v>
      </c>
      <c r="Q42" s="230">
        <f t="shared" si="9"/>
        <v>3.7731481481480672E-3</v>
      </c>
      <c r="R42" s="233"/>
    </row>
    <row r="43" spans="1:18" ht="14.1" customHeight="1">
      <c r="A43">
        <f t="shared" si="2"/>
        <v>46</v>
      </c>
      <c r="B43">
        <f t="shared" si="3"/>
        <v>12</v>
      </c>
      <c r="C43" s="152">
        <f>'Sign-On'!A46</f>
        <v>36</v>
      </c>
      <c r="D43" s="142" t="str">
        <f>'Sign-On'!B46</f>
        <v>Malcolm Cleghorn</v>
      </c>
      <c r="E43" s="142" t="str">
        <f>'Sign-On'!D46</f>
        <v>Ross-Shire RCC</v>
      </c>
      <c r="F43" s="142" t="str">
        <f>'Sign-On'!H46</f>
        <v>1090352</v>
      </c>
      <c r="G43" s="143" t="str">
        <f>'Sign-On'!F46</f>
        <v>V</v>
      </c>
      <c r="H43" s="153">
        <f t="shared" si="10"/>
        <v>0.39999999999999991</v>
      </c>
      <c r="I43" s="154">
        <v>0.41818287037037039</v>
      </c>
      <c r="J43" s="155">
        <f t="shared" si="4"/>
        <v>1.8182870370370474E-2</v>
      </c>
      <c r="K43" s="189">
        <f t="shared" si="5"/>
        <v>1.8182913370370476E-2</v>
      </c>
      <c r="L43" s="155">
        <f t="shared" si="11"/>
        <v>4.3008719332502396E-3</v>
      </c>
      <c r="M43" s="155">
        <f t="shared" si="6"/>
        <v>1.3881998437120235E-2</v>
      </c>
      <c r="N43" s="189">
        <f t="shared" si="7"/>
        <v>1.3882041437120235E-2</v>
      </c>
      <c r="O43" s="155">
        <f t="shared" si="12"/>
        <v>1.9270833333333334E-2</v>
      </c>
      <c r="P43" s="145" t="str">
        <f t="shared" si="8"/>
        <v>+</v>
      </c>
      <c r="Q43" s="230">
        <f t="shared" si="9"/>
        <v>1.0879629629628601E-3</v>
      </c>
      <c r="R43" s="233"/>
    </row>
    <row r="44" spans="1:18" ht="14.1" customHeight="1">
      <c r="A44" t="e">
        <f t="shared" si="2"/>
        <v>#VALUE!</v>
      </c>
      <c r="B44" t="e">
        <f t="shared" si="3"/>
        <v>#VALUE!</v>
      </c>
      <c r="C44" s="152">
        <f>'Sign-On'!A47</f>
        <v>37</v>
      </c>
      <c r="D44" s="142" t="str">
        <f>'Sign-On'!B47</f>
        <v>Steve Rae</v>
      </c>
      <c r="E44" s="142" t="str">
        <f>'Sign-On'!D47</f>
        <v>Ythan CC</v>
      </c>
      <c r="F44" s="142" t="str">
        <f>'Sign-On'!H47</f>
        <v>1006831</v>
      </c>
      <c r="G44" s="143" t="str">
        <f>'Sign-On'!F47</f>
        <v>V</v>
      </c>
      <c r="H44" s="153">
        <f t="shared" si="10"/>
        <v>0.40069444444444435</v>
      </c>
      <c r="I44" s="154"/>
      <c r="J44" s="155" t="str">
        <f t="shared" si="4"/>
        <v/>
      </c>
      <c r="K44" s="189" t="str">
        <f t="shared" si="5"/>
        <v/>
      </c>
      <c r="L44" s="155">
        <f t="shared" si="11"/>
        <v>1.7941720812049324E-3</v>
      </c>
      <c r="M44" s="155" t="str">
        <f t="shared" si="6"/>
        <v/>
      </c>
      <c r="N44" s="189" t="str">
        <f t="shared" si="7"/>
        <v/>
      </c>
      <c r="O44" s="155">
        <f t="shared" si="12"/>
        <v>1.8831018518518518E-2</v>
      </c>
      <c r="P44" s="145" t="str">
        <f t="shared" si="8"/>
        <v/>
      </c>
      <c r="Q44" s="230" t="str">
        <f t="shared" si="9"/>
        <v/>
      </c>
      <c r="R44" s="233"/>
    </row>
    <row r="45" spans="1:18" ht="14.1" customHeight="1">
      <c r="A45">
        <f t="shared" si="2"/>
        <v>24</v>
      </c>
      <c r="B45">
        <f t="shared" si="3"/>
        <v>26</v>
      </c>
      <c r="C45" s="152">
        <f>'Sign-On'!A48</f>
        <v>38</v>
      </c>
      <c r="D45" s="142" t="str">
        <f>'Sign-On'!B48</f>
        <v>Alison Roger</v>
      </c>
      <c r="E45" s="142" t="str">
        <f>'Sign-On'!D48</f>
        <v>North Argyll Cycle Club</v>
      </c>
      <c r="F45" s="142" t="str">
        <f>'Sign-On'!H48</f>
        <v>1690150</v>
      </c>
      <c r="G45" s="143" t="str">
        <f>'Sign-On'!F48</f>
        <v>FV</v>
      </c>
      <c r="H45" s="153">
        <f t="shared" si="10"/>
        <v>0.4013888888888888</v>
      </c>
      <c r="I45" s="154">
        <v>0.41770833333333335</v>
      </c>
      <c r="J45" s="155">
        <f t="shared" si="4"/>
        <v>1.6319444444444553E-2</v>
      </c>
      <c r="K45" s="189">
        <f t="shared" si="5"/>
        <v>1.6319489444444554E-2</v>
      </c>
      <c r="L45" s="155">
        <f t="shared" si="11"/>
        <v>2.1859698783827045E-3</v>
      </c>
      <c r="M45" s="155">
        <f t="shared" si="6"/>
        <v>1.4133474566061848E-2</v>
      </c>
      <c r="N45" s="189">
        <f t="shared" si="7"/>
        <v>1.4133519566061849E-2</v>
      </c>
      <c r="O45" s="155">
        <f t="shared" si="12"/>
        <v>2.0324074074074074E-2</v>
      </c>
      <c r="P45" s="145" t="str">
        <f t="shared" si="8"/>
        <v>+</v>
      </c>
      <c r="Q45" s="230">
        <f t="shared" si="9"/>
        <v>4.0046296296295213E-3</v>
      </c>
      <c r="R45" s="233"/>
    </row>
    <row r="46" spans="1:18" ht="14.1" customHeight="1">
      <c r="A46">
        <f t="shared" si="2"/>
        <v>55</v>
      </c>
      <c r="B46">
        <f t="shared" si="3"/>
        <v>52</v>
      </c>
      <c r="C46" s="152">
        <f>'Sign-On'!A49</f>
        <v>39</v>
      </c>
      <c r="D46" s="142" t="str">
        <f>'Sign-On'!B49</f>
        <v>George Grant</v>
      </c>
      <c r="E46" s="142" t="str">
        <f>'Sign-On'!D49</f>
        <v>Forres CC</v>
      </c>
      <c r="F46" s="142" t="str">
        <f>'Sign-On'!H49</f>
        <v>201987</v>
      </c>
      <c r="G46" s="143" t="str">
        <f>'Sign-On'!F49</f>
        <v>S</v>
      </c>
      <c r="H46" s="153">
        <f t="shared" si="10"/>
        <v>0.40208333333333324</v>
      </c>
      <c r="I46" s="154">
        <v>0.42394675925925923</v>
      </c>
      <c r="J46" s="155">
        <f t="shared" si="4"/>
        <v>2.1863425925925994E-2</v>
      </c>
      <c r="K46" s="189">
        <f t="shared" si="5"/>
        <v>2.1863471925925995E-2</v>
      </c>
      <c r="L46" s="155">
        <f t="shared" si="11"/>
        <v>5.5360544922366242E-3</v>
      </c>
      <c r="M46" s="155">
        <f t="shared" si="6"/>
        <v>1.6327371433689369E-2</v>
      </c>
      <c r="N46" s="189">
        <f t="shared" si="7"/>
        <v>1.6327417433689369E-2</v>
      </c>
      <c r="O46" s="155" t="str">
        <f t="shared" si="12"/>
        <v/>
      </c>
      <c r="P46" s="145" t="str">
        <f t="shared" si="8"/>
        <v/>
      </c>
      <c r="Q46" s="230" t="str">
        <f t="shared" si="9"/>
        <v/>
      </c>
      <c r="R46" s="233"/>
    </row>
    <row r="47" spans="1:18" ht="14.1" customHeight="1">
      <c r="A47">
        <f t="shared" si="2"/>
        <v>6</v>
      </c>
      <c r="B47">
        <f t="shared" si="3"/>
        <v>20</v>
      </c>
      <c r="C47" s="152">
        <f>'Sign-On'!A50</f>
        <v>40</v>
      </c>
      <c r="D47" s="142" t="str">
        <f>'Sign-On'!B50</f>
        <v>Daniel Long</v>
      </c>
      <c r="E47" s="142" t="str">
        <f>'Sign-On'!D50</f>
        <v>Elgin CC</v>
      </c>
      <c r="F47" s="142" t="str">
        <f>'Sign-On'!H50</f>
        <v>1382142</v>
      </c>
      <c r="G47" s="143" t="str">
        <f>'Sign-On'!F50</f>
        <v>V</v>
      </c>
      <c r="H47" s="153">
        <f t="shared" si="10"/>
        <v>0.40277777777777768</v>
      </c>
      <c r="I47" s="154">
        <v>0.41712962962962963</v>
      </c>
      <c r="J47" s="155">
        <f t="shared" si="4"/>
        <v>1.4351851851851949E-2</v>
      </c>
      <c r="K47" s="189">
        <f t="shared" si="5"/>
        <v>1.4351898851851948E-2</v>
      </c>
      <c r="L47" s="155">
        <f t="shared" si="11"/>
        <v>3.3767717078433962E-4</v>
      </c>
      <c r="M47" s="155">
        <f t="shared" si="6"/>
        <v>1.4014174681067609E-2</v>
      </c>
      <c r="N47" s="189">
        <f t="shared" si="7"/>
        <v>1.4014221681067609E-2</v>
      </c>
      <c r="O47" s="155">
        <f t="shared" si="12"/>
        <v>1.8368055555555554E-2</v>
      </c>
      <c r="P47" s="145" t="str">
        <f t="shared" si="8"/>
        <v>+</v>
      </c>
      <c r="Q47" s="230">
        <f t="shared" si="9"/>
        <v>4.0162037037036052E-3</v>
      </c>
      <c r="R47" s="233"/>
    </row>
    <row r="48" spans="1:18" ht="14.1" customHeight="1">
      <c r="A48" t="e">
        <f t="shared" si="2"/>
        <v>#VALUE!</v>
      </c>
      <c r="B48" t="e">
        <f t="shared" si="3"/>
        <v>#VALUE!</v>
      </c>
      <c r="C48" s="152">
        <f>'Sign-On'!A51</f>
        <v>41</v>
      </c>
      <c r="D48" s="142" t="str">
        <f>'Sign-On'!B51</f>
        <v/>
      </c>
      <c r="E48" s="142" t="str">
        <f>'Sign-On'!D51</f>
        <v/>
      </c>
      <c r="F48" s="142" t="str">
        <f>'Sign-On'!H51</f>
        <v/>
      </c>
      <c r="G48" s="143" t="str">
        <f>'Sign-On'!F51</f>
        <v/>
      </c>
      <c r="H48" s="153">
        <f t="shared" si="10"/>
        <v>0.40347222222222212</v>
      </c>
      <c r="I48" s="154"/>
      <c r="J48" s="155" t="str">
        <f t="shared" si="4"/>
        <v/>
      </c>
      <c r="K48" s="189" t="str">
        <f t="shared" si="5"/>
        <v/>
      </c>
      <c r="L48" s="155" t="str">
        <f t="shared" si="11"/>
        <v/>
      </c>
      <c r="M48" s="155" t="str">
        <f t="shared" si="6"/>
        <v/>
      </c>
      <c r="N48" s="189" t="str">
        <f t="shared" si="7"/>
        <v/>
      </c>
      <c r="O48" s="155" t="str">
        <f t="shared" si="12"/>
        <v/>
      </c>
      <c r="P48" s="145" t="str">
        <f t="shared" si="8"/>
        <v/>
      </c>
      <c r="Q48" s="230" t="str">
        <f t="shared" si="9"/>
        <v/>
      </c>
      <c r="R48" s="233"/>
    </row>
    <row r="49" spans="1:18" ht="14.1" customHeight="1">
      <c r="A49">
        <f t="shared" si="2"/>
        <v>43</v>
      </c>
      <c r="B49">
        <f t="shared" si="3"/>
        <v>17</v>
      </c>
      <c r="C49" s="152">
        <f>'Sign-On'!A52</f>
        <v>42</v>
      </c>
      <c r="D49" s="142" t="str">
        <f>'Sign-On'!B52</f>
        <v>Martin Lugg</v>
      </c>
      <c r="E49" s="142" t="str">
        <f>'Sign-On'!D52</f>
        <v>Revolution CT</v>
      </c>
      <c r="F49" s="142" t="str">
        <f>'Sign-On'!H52</f>
        <v>442330</v>
      </c>
      <c r="G49" s="143" t="str">
        <f>'Sign-On'!F52</f>
        <v>V</v>
      </c>
      <c r="H49" s="153">
        <f t="shared" si="10"/>
        <v>0.40416666666666656</v>
      </c>
      <c r="I49" s="154">
        <v>0.42188657407407409</v>
      </c>
      <c r="J49" s="155">
        <f t="shared" si="4"/>
        <v>1.7719907407407531E-2</v>
      </c>
      <c r="K49" s="189">
        <f t="shared" si="5"/>
        <v>1.771995640740753E-2</v>
      </c>
      <c r="L49" s="155">
        <f t="shared" si="11"/>
        <v>3.760176624577386E-3</v>
      </c>
      <c r="M49" s="155">
        <f t="shared" si="6"/>
        <v>1.3959730782830145E-2</v>
      </c>
      <c r="N49" s="189">
        <f t="shared" si="7"/>
        <v>1.3959779782830145E-2</v>
      </c>
      <c r="O49" s="155">
        <f t="shared" si="12"/>
        <v>1.9791666666666666E-2</v>
      </c>
      <c r="P49" s="145" t="str">
        <f t="shared" si="8"/>
        <v>+</v>
      </c>
      <c r="Q49" s="230">
        <f t="shared" si="9"/>
        <v>2.0717592592591344E-3</v>
      </c>
      <c r="R49" s="233"/>
    </row>
    <row r="50" spans="1:18" ht="14.1" customHeight="1">
      <c r="A50">
        <f t="shared" si="2"/>
        <v>34</v>
      </c>
      <c r="B50">
        <f t="shared" si="3"/>
        <v>49</v>
      </c>
      <c r="C50" s="152">
        <f>'Sign-On'!A53</f>
        <v>43</v>
      </c>
      <c r="D50" s="142" t="str">
        <f>'Sign-On'!B53</f>
        <v>Isla Easto</v>
      </c>
      <c r="E50" s="142" t="str">
        <f>'Sign-On'!D53</f>
        <v>Solas Cycling</v>
      </c>
      <c r="F50" s="142" t="str">
        <f>'Sign-On'!H53</f>
        <v>1716241</v>
      </c>
      <c r="G50" s="143" t="str">
        <f>'Sign-On'!F53</f>
        <v>F</v>
      </c>
      <c r="H50" s="153">
        <f t="shared" si="10"/>
        <v>0.40486111111111101</v>
      </c>
      <c r="I50" s="154">
        <v>0.42192129629629632</v>
      </c>
      <c r="J50" s="155">
        <f t="shared" si="4"/>
        <v>1.7060185185185317E-2</v>
      </c>
      <c r="K50" s="189">
        <f t="shared" si="5"/>
        <v>1.7060235185185318E-2</v>
      </c>
      <c r="L50" s="155">
        <f t="shared" si="11"/>
        <v>1.6414463596794529E-3</v>
      </c>
      <c r="M50" s="155">
        <f t="shared" si="6"/>
        <v>1.5418738825505865E-2</v>
      </c>
      <c r="N50" s="189">
        <f t="shared" si="7"/>
        <v>1.5418788825505864E-2</v>
      </c>
      <c r="O50" s="155" t="str">
        <f t="shared" si="12"/>
        <v/>
      </c>
      <c r="P50" s="145" t="str">
        <f t="shared" si="8"/>
        <v/>
      </c>
      <c r="Q50" s="230" t="str">
        <f t="shared" si="9"/>
        <v/>
      </c>
      <c r="R50" s="233"/>
    </row>
    <row r="51" spans="1:18" ht="14.1" customHeight="1">
      <c r="A51">
        <f t="shared" si="2"/>
        <v>17</v>
      </c>
      <c r="B51">
        <f t="shared" si="3"/>
        <v>11</v>
      </c>
      <c r="C51" s="152">
        <f>'Sign-On'!A54</f>
        <v>44</v>
      </c>
      <c r="D51" s="142" t="str">
        <f>'Sign-On'!B54</f>
        <v>Robert Cowie</v>
      </c>
      <c r="E51" s="142" t="str">
        <f>'Sign-On'!D54</f>
        <v>Aberdeen Wheelers Cycling Club</v>
      </c>
      <c r="F51" s="142" t="str">
        <f>'Sign-On'!H54</f>
        <v>436318</v>
      </c>
      <c r="G51" s="143" t="str">
        <f>'Sign-On'!F54</f>
        <v>V</v>
      </c>
      <c r="H51" s="153">
        <f t="shared" si="10"/>
        <v>0.40555555555555545</v>
      </c>
      <c r="I51" s="154">
        <v>0.42135416666666664</v>
      </c>
      <c r="J51" s="155">
        <f t="shared" si="4"/>
        <v>1.5798611111111194E-2</v>
      </c>
      <c r="K51" s="189">
        <f t="shared" si="5"/>
        <v>1.5798662111111195E-2</v>
      </c>
      <c r="L51" s="155">
        <f t="shared" si="11"/>
        <v>1.9759278135402822E-3</v>
      </c>
      <c r="M51" s="155">
        <f t="shared" si="6"/>
        <v>1.3822683297570911E-2</v>
      </c>
      <c r="N51" s="189">
        <f t="shared" si="7"/>
        <v>1.382273429757091E-2</v>
      </c>
      <c r="O51" s="155">
        <f t="shared" si="12"/>
        <v>1.9791666666666666E-2</v>
      </c>
      <c r="P51" s="145" t="str">
        <f t="shared" si="8"/>
        <v>+</v>
      </c>
      <c r="Q51" s="230">
        <f t="shared" si="9"/>
        <v>3.993055555555472E-3</v>
      </c>
      <c r="R51" s="233"/>
    </row>
    <row r="52" spans="1:18" ht="14.1" customHeight="1">
      <c r="A52">
        <f t="shared" si="2"/>
        <v>11</v>
      </c>
      <c r="B52">
        <f t="shared" si="3"/>
        <v>37</v>
      </c>
      <c r="C52" s="152">
        <f>'Sign-On'!A55</f>
        <v>45</v>
      </c>
      <c r="D52" s="142" t="str">
        <f>'Sign-On'!B55</f>
        <v>Colin Johnston</v>
      </c>
      <c r="E52" s="142" t="str">
        <f>'Sign-On'!D55</f>
        <v>Vanelli-Project Go</v>
      </c>
      <c r="F52" s="142" t="str">
        <f>'Sign-On'!H55</f>
        <v>1085571</v>
      </c>
      <c r="G52" s="143" t="str">
        <f>'Sign-On'!F55</f>
        <v>JM</v>
      </c>
      <c r="H52" s="153">
        <f t="shared" si="10"/>
        <v>0.40624999999999989</v>
      </c>
      <c r="I52" s="154">
        <v>0.42106481481481484</v>
      </c>
      <c r="J52" s="155">
        <f t="shared" si="4"/>
        <v>1.4814814814814947E-2</v>
      </c>
      <c r="K52" s="189">
        <f t="shared" si="5"/>
        <v>1.4814866814814948E-2</v>
      </c>
      <c r="L52" s="155">
        <f t="shared" si="11"/>
        <v>2.4881850011394786E-4</v>
      </c>
      <c r="M52" s="155">
        <f t="shared" si="6"/>
        <v>1.4565996314700999E-2</v>
      </c>
      <c r="N52" s="189">
        <f t="shared" si="7"/>
        <v>1.4566048314700999E-2</v>
      </c>
      <c r="O52" s="155" t="str">
        <f t="shared" si="12"/>
        <v/>
      </c>
      <c r="P52" s="145" t="str">
        <f t="shared" si="8"/>
        <v/>
      </c>
      <c r="Q52" s="230" t="str">
        <f t="shared" si="9"/>
        <v/>
      </c>
      <c r="R52" s="233"/>
    </row>
    <row r="53" spans="1:18" ht="14.1" customHeight="1">
      <c r="A53">
        <f t="shared" si="2"/>
        <v>53</v>
      </c>
      <c r="B53">
        <f t="shared" si="3"/>
        <v>16</v>
      </c>
      <c r="C53" s="152">
        <f>'Sign-On'!A56</f>
        <v>46</v>
      </c>
      <c r="D53" s="142" t="str">
        <f>'Sign-On'!B56</f>
        <v>Paul Mason</v>
      </c>
      <c r="E53" s="142" t="str">
        <f>'Sign-On'!D56</f>
        <v>Royal Navy Cycling</v>
      </c>
      <c r="F53" s="142" t="str">
        <f>'Sign-On'!H56</f>
        <v>1821975</v>
      </c>
      <c r="G53" s="143" t="str">
        <f>'Sign-On'!F56</f>
        <v>V</v>
      </c>
      <c r="H53" s="153">
        <f t="shared" si="10"/>
        <v>0.40694444444444433</v>
      </c>
      <c r="I53" s="154">
        <v>0.42746527777777776</v>
      </c>
      <c r="J53" s="155">
        <f t="shared" si="4"/>
        <v>2.0520833333333433E-2</v>
      </c>
      <c r="K53" s="189">
        <f t="shared" si="5"/>
        <v>2.0520886333333432E-2</v>
      </c>
      <c r="L53" s="155">
        <f t="shared" si="11"/>
        <v>6.5866446100791435E-3</v>
      </c>
      <c r="M53" s="155">
        <f t="shared" si="6"/>
        <v>1.393418872325429E-2</v>
      </c>
      <c r="N53" s="189">
        <f t="shared" si="7"/>
        <v>1.393424172325429E-2</v>
      </c>
      <c r="O53" s="155">
        <f t="shared" si="12"/>
        <v>1.8831018518518518E-2</v>
      </c>
      <c r="P53" s="145" t="str">
        <f t="shared" si="8"/>
        <v>-</v>
      </c>
      <c r="Q53" s="230">
        <f t="shared" si="9"/>
        <v>1.6898148148149147E-3</v>
      </c>
      <c r="R53" s="233"/>
    </row>
    <row r="54" spans="1:18" ht="14.1" customHeight="1">
      <c r="A54">
        <f t="shared" si="2"/>
        <v>18</v>
      </c>
      <c r="B54">
        <f t="shared" si="3"/>
        <v>36</v>
      </c>
      <c r="C54" s="152">
        <f>'Sign-On'!A57</f>
        <v>47</v>
      </c>
      <c r="D54" s="142" t="str">
        <f>'Sign-On'!B57</f>
        <v>Douglas Macdonald</v>
      </c>
      <c r="E54" s="142" t="str">
        <f>'Sign-On'!D57</f>
        <v>Fullarton Wheelers Cycling Club</v>
      </c>
      <c r="F54" s="142" t="str">
        <f>'Sign-On'!H57</f>
        <v>430399</v>
      </c>
      <c r="G54" s="143" t="str">
        <f>'Sign-On'!F57</f>
        <v>V</v>
      </c>
      <c r="H54" s="153">
        <f t="shared" si="10"/>
        <v>0.40763888888888877</v>
      </c>
      <c r="I54" s="154">
        <v>0.4236111111111111</v>
      </c>
      <c r="J54" s="155">
        <f t="shared" si="4"/>
        <v>1.5972222222222332E-2</v>
      </c>
      <c r="K54" s="189">
        <f t="shared" si="5"/>
        <v>1.5972276222222331E-2</v>
      </c>
      <c r="L54" s="155">
        <f t="shared" si="11"/>
        <v>1.4565945535939748E-3</v>
      </c>
      <c r="M54" s="155">
        <f t="shared" si="6"/>
        <v>1.4515627668628357E-2</v>
      </c>
      <c r="N54" s="189">
        <f t="shared" si="7"/>
        <v>1.4515681668628357E-2</v>
      </c>
      <c r="O54" s="155">
        <f t="shared" si="12"/>
        <v>1.9594907407407408E-2</v>
      </c>
      <c r="P54" s="145" t="str">
        <f t="shared" si="8"/>
        <v>+</v>
      </c>
      <c r="Q54" s="230">
        <f t="shared" si="9"/>
        <v>3.6226851851850761E-3</v>
      </c>
      <c r="R54" s="233"/>
    </row>
    <row r="55" spans="1:18" ht="14.1" customHeight="1">
      <c r="A55" t="e">
        <f t="shared" si="2"/>
        <v>#VALUE!</v>
      </c>
      <c r="B55" t="e">
        <f t="shared" si="3"/>
        <v>#VALUE!</v>
      </c>
      <c r="C55" s="152">
        <f>'Sign-On'!A58</f>
        <v>48</v>
      </c>
      <c r="D55" s="142" t="str">
        <f>'Sign-On'!B58</f>
        <v>Eric Davidson</v>
      </c>
      <c r="E55" s="142" t="str">
        <f>'Sign-On'!D58</f>
        <v>Moray Firth Cycling Club</v>
      </c>
      <c r="F55" s="142" t="str">
        <f>'Sign-On'!H58</f>
        <v>833828</v>
      </c>
      <c r="G55" s="143" t="str">
        <f>'Sign-On'!F58</f>
        <v>V</v>
      </c>
      <c r="H55" s="153">
        <f t="shared" si="10"/>
        <v>0.40833333333333321</v>
      </c>
      <c r="I55" s="154"/>
      <c r="J55" s="155" t="str">
        <f t="shared" si="4"/>
        <v/>
      </c>
      <c r="K55" s="189" t="str">
        <f t="shared" si="5"/>
        <v/>
      </c>
      <c r="L55" s="155">
        <f t="shared" si="11"/>
        <v>1.9759278135402822E-3</v>
      </c>
      <c r="M55" s="155" t="str">
        <f t="shared" si="6"/>
        <v/>
      </c>
      <c r="N55" s="189" t="str">
        <f t="shared" si="7"/>
        <v/>
      </c>
      <c r="O55" s="155">
        <f t="shared" si="12"/>
        <v>1.8518518518518517E-2</v>
      </c>
      <c r="P55" s="145" t="str">
        <f t="shared" si="8"/>
        <v/>
      </c>
      <c r="Q55" s="230" t="str">
        <f t="shared" si="9"/>
        <v/>
      </c>
      <c r="R55" s="233"/>
    </row>
    <row r="56" spans="1:18" ht="14.1" customHeight="1">
      <c r="A56">
        <f t="shared" si="2"/>
        <v>52</v>
      </c>
      <c r="B56">
        <f t="shared" si="3"/>
        <v>50</v>
      </c>
      <c r="C56" s="152">
        <f>'Sign-On'!A59</f>
        <v>49</v>
      </c>
      <c r="D56" s="142" t="str">
        <f>'Sign-On'!B59</f>
        <v>Hector Nicolson</v>
      </c>
      <c r="E56" s="142" t="str">
        <f>'Sign-On'!D59</f>
        <v>Moray Firth Cycling Club</v>
      </c>
      <c r="F56" s="142" t="str">
        <f>'Sign-On'!H59</f>
        <v>703907</v>
      </c>
      <c r="G56" s="143" t="str">
        <f>'Sign-On'!F59</f>
        <v>V</v>
      </c>
      <c r="H56" s="153">
        <f t="shared" si="10"/>
        <v>0.40902777777777766</v>
      </c>
      <c r="I56" s="154">
        <v>0.42931712962962965</v>
      </c>
      <c r="J56" s="155">
        <f t="shared" si="4"/>
        <v>2.0289351851851989E-2</v>
      </c>
      <c r="K56" s="189">
        <f t="shared" si="5"/>
        <v>2.0289407851851987E-2</v>
      </c>
      <c r="L56" s="155">
        <f t="shared" si="11"/>
        <v>4.57107091834683E-3</v>
      </c>
      <c r="M56" s="155">
        <f t="shared" si="6"/>
        <v>1.571828093350516E-2</v>
      </c>
      <c r="N56" s="189">
        <f t="shared" si="7"/>
        <v>1.5718336933505158E-2</v>
      </c>
      <c r="O56" s="155">
        <f t="shared" si="12"/>
        <v>2.011574074074074E-2</v>
      </c>
      <c r="P56" s="145" t="str">
        <f t="shared" si="8"/>
        <v>-</v>
      </c>
      <c r="Q56" s="230">
        <f t="shared" si="9"/>
        <v>1.7361111111124927E-4</v>
      </c>
      <c r="R56" s="233"/>
    </row>
    <row r="57" spans="1:18" ht="14.1" customHeight="1">
      <c r="A57">
        <f t="shared" si="2"/>
        <v>5</v>
      </c>
      <c r="B57">
        <f t="shared" si="3"/>
        <v>22</v>
      </c>
      <c r="C57" s="152">
        <f>'Sign-On'!A60</f>
        <v>50</v>
      </c>
      <c r="D57" s="142" t="str">
        <f>'Sign-On'!B60</f>
        <v>Garry Greenaway</v>
      </c>
      <c r="E57" s="142" t="str">
        <f>'Sign-On'!D60</f>
        <v>Vanelli-Project Go</v>
      </c>
      <c r="F57" s="142" t="str">
        <f>'Sign-On'!H60</f>
        <v>1554243</v>
      </c>
      <c r="G57" s="143" t="str">
        <f>'Sign-On'!F60</f>
        <v>V</v>
      </c>
      <c r="H57" s="153">
        <f t="shared" si="10"/>
        <v>0.4097222222222221</v>
      </c>
      <c r="I57" s="154">
        <v>0.42403935185185188</v>
      </c>
      <c r="J57" s="155">
        <f t="shared" si="4"/>
        <v>1.4317129629629777E-2</v>
      </c>
      <c r="K57" s="189">
        <f t="shared" si="5"/>
        <v>1.4317186629629776E-2</v>
      </c>
      <c r="L57" s="155">
        <f t="shared" si="11"/>
        <v>2.264922660303639E-4</v>
      </c>
      <c r="M57" s="155">
        <f t="shared" si="6"/>
        <v>1.4090637363599412E-2</v>
      </c>
      <c r="N57" s="189">
        <f t="shared" si="7"/>
        <v>1.4090694363599412E-2</v>
      </c>
      <c r="O57" s="155">
        <f t="shared" si="12"/>
        <v>1.894675925925926E-2</v>
      </c>
      <c r="P57" s="145" t="str">
        <f t="shared" si="8"/>
        <v>+</v>
      </c>
      <c r="Q57" s="230">
        <f t="shared" si="9"/>
        <v>4.6296296296294837E-3</v>
      </c>
      <c r="R57" s="233"/>
    </row>
    <row r="58" spans="1:18" ht="14.1" customHeight="1">
      <c r="A58">
        <f t="shared" si="2"/>
        <v>40</v>
      </c>
      <c r="B58">
        <f t="shared" si="3"/>
        <v>40</v>
      </c>
      <c r="C58" s="152">
        <f>'Sign-On'!A61</f>
        <v>51</v>
      </c>
      <c r="D58" s="142" t="str">
        <f>'Sign-On'!B61</f>
        <v>Paul Parrish</v>
      </c>
      <c r="E58" s="142" t="str">
        <f>'Sign-On'!D61</f>
        <v>Cairngorm CC</v>
      </c>
      <c r="F58" s="142" t="str">
        <f>'Sign-On'!H61</f>
        <v>966611</v>
      </c>
      <c r="G58" s="143" t="str">
        <f>'Sign-On'!F61</f>
        <v>V</v>
      </c>
      <c r="H58" s="153">
        <f t="shared" si="10"/>
        <v>0.41041666666666654</v>
      </c>
      <c r="I58" s="154">
        <v>0.42798611111111112</v>
      </c>
      <c r="J58" s="155">
        <f t="shared" si="4"/>
        <v>1.7569444444444582E-2</v>
      </c>
      <c r="K58" s="189">
        <f t="shared" si="5"/>
        <v>1.7569502444444583E-2</v>
      </c>
      <c r="L58" s="155">
        <f t="shared" si="11"/>
        <v>2.9485563075178855E-3</v>
      </c>
      <c r="M58" s="155">
        <f t="shared" si="6"/>
        <v>1.4620888136926696E-2</v>
      </c>
      <c r="N58" s="189">
        <f t="shared" si="7"/>
        <v>1.4620946136926697E-2</v>
      </c>
      <c r="O58" s="155">
        <f t="shared" si="12"/>
        <v>1.9351851851851853E-2</v>
      </c>
      <c r="P58" s="145" t="str">
        <f t="shared" si="8"/>
        <v>+</v>
      </c>
      <c r="Q58" s="230">
        <f t="shared" si="9"/>
        <v>1.7824074074072709E-3</v>
      </c>
      <c r="R58" s="233"/>
    </row>
    <row r="59" spans="1:18" ht="14.1" customHeight="1">
      <c r="A59">
        <f t="shared" si="2"/>
        <v>14</v>
      </c>
      <c r="B59">
        <f t="shared" si="3"/>
        <v>2</v>
      </c>
      <c r="C59" s="152">
        <f>'Sign-On'!A62</f>
        <v>52</v>
      </c>
      <c r="D59" s="142" t="str">
        <f>'Sign-On'!B62</f>
        <v>Bruce Paterson</v>
      </c>
      <c r="E59" s="142" t="str">
        <f>'Sign-On'!D62</f>
        <v>Moray Firth Cycling Club</v>
      </c>
      <c r="F59" s="142" t="str">
        <f>'Sign-On'!H62</f>
        <v>1824581</v>
      </c>
      <c r="G59" s="143" t="str">
        <f>'Sign-On'!F62</f>
        <v>S</v>
      </c>
      <c r="H59" s="153">
        <f t="shared" si="10"/>
        <v>0.41111111111111098</v>
      </c>
      <c r="I59" s="154">
        <v>0.42675925925925928</v>
      </c>
      <c r="J59" s="155">
        <f t="shared" si="4"/>
        <v>1.56481481481483E-2</v>
      </c>
      <c r="K59" s="189">
        <f t="shared" si="5"/>
        <v>1.56482071481483E-2</v>
      </c>
      <c r="L59" s="155">
        <f t="shared" si="11"/>
        <v>2.7264462242409687E-3</v>
      </c>
      <c r="M59" s="155">
        <f t="shared" si="6"/>
        <v>1.2921701923907332E-2</v>
      </c>
      <c r="N59" s="189">
        <f t="shared" si="7"/>
        <v>1.2921760923907332E-2</v>
      </c>
      <c r="O59" s="155" t="str">
        <f t="shared" si="12"/>
        <v/>
      </c>
      <c r="P59" s="145" t="str">
        <f t="shared" si="8"/>
        <v/>
      </c>
      <c r="Q59" s="230" t="str">
        <f t="shared" si="9"/>
        <v/>
      </c>
      <c r="R59" s="233"/>
    </row>
    <row r="60" spans="1:18" ht="14.1" customHeight="1">
      <c r="A60" t="e">
        <f t="shared" si="2"/>
        <v>#VALUE!</v>
      </c>
      <c r="B60" t="e">
        <f t="shared" si="3"/>
        <v>#VALUE!</v>
      </c>
      <c r="C60" s="152">
        <f>'Sign-On'!A63</f>
        <v>53</v>
      </c>
      <c r="D60" s="142" t="str">
        <f>'Sign-On'!B63</f>
        <v>Tyler Clare</v>
      </c>
      <c r="E60" s="142" t="str">
        <f>'Sign-On'!D63</f>
        <v>Torvelo Racing</v>
      </c>
      <c r="F60" s="142" t="str">
        <f>'Sign-On'!H63</f>
        <v>1705577</v>
      </c>
      <c r="G60" s="143" t="str">
        <f>'Sign-On'!F63</f>
        <v>S</v>
      </c>
      <c r="H60" s="153">
        <f t="shared" si="10"/>
        <v>0.41180555555555542</v>
      </c>
      <c r="I60" s="154"/>
      <c r="J60" s="155" t="str">
        <f t="shared" si="4"/>
        <v/>
      </c>
      <c r="K60" s="189" t="str">
        <f t="shared" si="5"/>
        <v/>
      </c>
      <c r="L60" s="155">
        <f t="shared" si="11"/>
        <v>1.3011738098084261E-3</v>
      </c>
      <c r="M60" s="155" t="str">
        <f t="shared" si="6"/>
        <v/>
      </c>
      <c r="N60" s="189" t="str">
        <f t="shared" si="7"/>
        <v/>
      </c>
      <c r="O60" s="155" t="str">
        <f t="shared" si="12"/>
        <v/>
      </c>
      <c r="P60" s="145" t="str">
        <f t="shared" si="8"/>
        <v/>
      </c>
      <c r="Q60" s="230" t="str">
        <f t="shared" si="9"/>
        <v/>
      </c>
      <c r="R60" s="233"/>
    </row>
    <row r="61" spans="1:18" ht="14.1" customHeight="1">
      <c r="A61">
        <f t="shared" si="2"/>
        <v>35</v>
      </c>
      <c r="B61">
        <f t="shared" si="3"/>
        <v>41</v>
      </c>
      <c r="C61" s="152">
        <f>'Sign-On'!A64</f>
        <v>54</v>
      </c>
      <c r="D61" s="142" t="str">
        <f>'Sign-On'!B64</f>
        <v>Callum Deboys</v>
      </c>
      <c r="E61" s="142" t="str">
        <f>'Sign-On'!D64</f>
        <v>GTR - Return To Life</v>
      </c>
      <c r="F61" s="142" t="str">
        <f>'Sign-On'!H64</f>
        <v>1774761</v>
      </c>
      <c r="G61" s="143" t="str">
        <f>'Sign-On'!F64</f>
        <v>S</v>
      </c>
      <c r="H61" s="153">
        <f t="shared" si="10"/>
        <v>0.41249999999999987</v>
      </c>
      <c r="I61" s="154">
        <v>0.4296875</v>
      </c>
      <c r="J61" s="155">
        <f t="shared" si="4"/>
        <v>1.7187500000000133E-2</v>
      </c>
      <c r="K61" s="189">
        <f t="shared" si="5"/>
        <v>1.7187561000000132E-2</v>
      </c>
      <c r="L61" s="155">
        <f t="shared" si="11"/>
        <v>2.5020717722741138E-3</v>
      </c>
      <c r="M61" s="155">
        <f t="shared" si="6"/>
        <v>1.4685428227726019E-2</v>
      </c>
      <c r="N61" s="189">
        <f t="shared" si="7"/>
        <v>1.468548922772602E-2</v>
      </c>
      <c r="O61" s="155" t="str">
        <f t="shared" si="12"/>
        <v/>
      </c>
      <c r="P61" s="145" t="str">
        <f t="shared" si="8"/>
        <v/>
      </c>
      <c r="Q61" s="230" t="str">
        <f t="shared" si="9"/>
        <v/>
      </c>
      <c r="R61" s="233"/>
    </row>
    <row r="62" spans="1:18" ht="14.1" customHeight="1">
      <c r="A62">
        <f t="shared" si="2"/>
        <v>4</v>
      </c>
      <c r="B62">
        <f t="shared" si="3"/>
        <v>21</v>
      </c>
      <c r="C62" s="152">
        <f>'Sign-On'!A65</f>
        <v>55</v>
      </c>
      <c r="D62" s="142" t="str">
        <f>'Sign-On'!B65</f>
        <v>Chris Petrie</v>
      </c>
      <c r="E62" s="142" t="str">
        <f>'Sign-On'!D65</f>
        <v>Aberdeen Wheelers Cycling Club</v>
      </c>
      <c r="F62" s="142" t="str">
        <f>'Sign-On'!H65</f>
        <v>1244492</v>
      </c>
      <c r="G62" s="143" t="str">
        <f>'Sign-On'!F65</f>
        <v>V</v>
      </c>
      <c r="H62" s="153">
        <f t="shared" si="10"/>
        <v>0.41319444444444431</v>
      </c>
      <c r="I62" s="154">
        <v>0.42738425925925927</v>
      </c>
      <c r="J62" s="155">
        <f t="shared" si="4"/>
        <v>1.4189814814814961E-2</v>
      </c>
      <c r="K62" s="189">
        <f t="shared" si="5"/>
        <v>1.4189876814814961E-2</v>
      </c>
      <c r="L62" s="155">
        <f t="shared" si="11"/>
        <v>1.1409491342666441E-4</v>
      </c>
      <c r="M62" s="155">
        <f t="shared" si="6"/>
        <v>1.4075719901388296E-2</v>
      </c>
      <c r="N62" s="189">
        <f t="shared" si="7"/>
        <v>1.4075781901388296E-2</v>
      </c>
      <c r="O62" s="155">
        <f t="shared" si="12"/>
        <v>1.8078703703703704E-2</v>
      </c>
      <c r="P62" s="145" t="str">
        <f t="shared" si="8"/>
        <v>+</v>
      </c>
      <c r="Q62" s="230">
        <f t="shared" si="9"/>
        <v>3.8888888888887439E-3</v>
      </c>
      <c r="R62" s="233"/>
    </row>
    <row r="63" spans="1:18" ht="14.1" customHeight="1">
      <c r="A63">
        <f t="shared" si="2"/>
        <v>50</v>
      </c>
      <c r="B63">
        <f t="shared" si="3"/>
        <v>47</v>
      </c>
      <c r="C63" s="152">
        <f>'Sign-On'!A66</f>
        <v>56</v>
      </c>
      <c r="D63" s="142" t="str">
        <f>'Sign-On'!B66</f>
        <v>Alasdair Washington</v>
      </c>
      <c r="E63" s="142" t="str">
        <f>'Sign-On'!D66</f>
        <v>Caithness CC</v>
      </c>
      <c r="F63" s="142" t="str">
        <f>'Sign-On'!H66</f>
        <v>202161</v>
      </c>
      <c r="G63" s="143" t="str">
        <f>'Sign-On'!F66</f>
        <v>V</v>
      </c>
      <c r="H63" s="153">
        <f t="shared" si="10"/>
        <v>0.41388888888888875</v>
      </c>
      <c r="I63" s="154">
        <v>0.43376157407407406</v>
      </c>
      <c r="J63" s="155">
        <f t="shared" si="4"/>
        <v>1.9872685185185313E-2</v>
      </c>
      <c r="K63" s="189">
        <f t="shared" si="5"/>
        <v>1.9872748185185314E-2</v>
      </c>
      <c r="L63" s="155">
        <f t="shared" si="11"/>
        <v>4.7139145619061852E-3</v>
      </c>
      <c r="M63" s="155">
        <f t="shared" si="6"/>
        <v>1.5158770623279128E-2</v>
      </c>
      <c r="N63" s="189">
        <f t="shared" si="7"/>
        <v>1.5158833623279128E-2</v>
      </c>
      <c r="O63" s="155">
        <f t="shared" si="12"/>
        <v>2.435185185185185E-2</v>
      </c>
      <c r="P63" s="145" t="str">
        <f t="shared" si="8"/>
        <v>+</v>
      </c>
      <c r="Q63" s="230">
        <f t="shared" si="9"/>
        <v>4.4791666666665376E-3</v>
      </c>
      <c r="R63" s="233"/>
    </row>
    <row r="64" spans="1:18" ht="14.1" customHeight="1">
      <c r="A64" t="e">
        <f t="shared" si="2"/>
        <v>#VALUE!</v>
      </c>
      <c r="B64" t="e">
        <f t="shared" si="3"/>
        <v>#VALUE!</v>
      </c>
      <c r="C64" s="152">
        <f>'Sign-On'!A67</f>
        <v>57</v>
      </c>
      <c r="D64" s="142" t="str">
        <f>'Sign-On'!B67</f>
        <v>Liam McNamara</v>
      </c>
      <c r="E64" s="142" t="str">
        <f>'Sign-On'!D67</f>
        <v>Elgin CC</v>
      </c>
      <c r="F64" s="142" t="str">
        <f>'Sign-On'!H67</f>
        <v>1279184</v>
      </c>
      <c r="G64" s="143" t="str">
        <f>'Sign-On'!F67</f>
        <v>S</v>
      </c>
      <c r="H64" s="153">
        <f t="shared" si="10"/>
        <v>0.41458333333333319</v>
      </c>
      <c r="I64" s="154"/>
      <c r="J64" s="155" t="str">
        <f t="shared" si="4"/>
        <v/>
      </c>
      <c r="K64" s="189" t="str">
        <f t="shared" si="5"/>
        <v/>
      </c>
      <c r="L64" s="155">
        <f t="shared" si="11"/>
        <v>1.2490776033457552E-3</v>
      </c>
      <c r="M64" s="155" t="str">
        <f t="shared" si="6"/>
        <v/>
      </c>
      <c r="N64" s="189" t="str">
        <f t="shared" si="7"/>
        <v/>
      </c>
      <c r="O64" s="155" t="str">
        <f t="shared" si="12"/>
        <v/>
      </c>
      <c r="P64" s="145" t="str">
        <f t="shared" si="8"/>
        <v/>
      </c>
      <c r="Q64" s="230" t="str">
        <f t="shared" si="9"/>
        <v/>
      </c>
      <c r="R64" s="233"/>
    </row>
    <row r="65" spans="1:18" ht="14.1" customHeight="1">
      <c r="A65" t="e">
        <f t="shared" si="2"/>
        <v>#VALUE!</v>
      </c>
      <c r="B65" t="e">
        <f t="shared" si="3"/>
        <v>#VALUE!</v>
      </c>
      <c r="C65" s="152">
        <f>'Sign-On'!A68</f>
        <v>58</v>
      </c>
      <c r="D65" s="142" t="str">
        <f>'Sign-On'!B68</f>
        <v>Colin Duncan</v>
      </c>
      <c r="E65" s="142" t="str">
        <f>'Sign-On'!D68</f>
        <v>Elgin CC</v>
      </c>
      <c r="F65" s="142" t="str">
        <f>'Sign-On'!H68</f>
        <v>421685</v>
      </c>
      <c r="G65" s="143" t="str">
        <f>'Sign-On'!F68</f>
        <v>V</v>
      </c>
      <c r="H65" s="153">
        <f t="shared" si="10"/>
        <v>0.41527777777777763</v>
      </c>
      <c r="I65" s="154"/>
      <c r="J65" s="155" t="str">
        <f t="shared" si="4"/>
        <v/>
      </c>
      <c r="K65" s="189" t="str">
        <f t="shared" si="5"/>
        <v/>
      </c>
      <c r="L65" s="155">
        <f t="shared" si="11"/>
        <v>1.6107593961307966E-3</v>
      </c>
      <c r="M65" s="155" t="str">
        <f t="shared" si="6"/>
        <v/>
      </c>
      <c r="N65" s="189" t="str">
        <f t="shared" si="7"/>
        <v/>
      </c>
      <c r="O65" s="155">
        <f t="shared" si="12"/>
        <v>1.8726851851851852E-2</v>
      </c>
      <c r="P65" s="145" t="str">
        <f t="shared" si="8"/>
        <v/>
      </c>
      <c r="Q65" s="230" t="str">
        <f t="shared" si="9"/>
        <v/>
      </c>
      <c r="R65" s="233"/>
    </row>
    <row r="66" spans="1:18" ht="14.1" customHeight="1">
      <c r="A66" t="e">
        <f t="shared" si="2"/>
        <v>#VALUE!</v>
      </c>
      <c r="B66" t="e">
        <f t="shared" si="3"/>
        <v>#VALUE!</v>
      </c>
      <c r="C66" s="152">
        <f>'Sign-On'!A69</f>
        <v>59</v>
      </c>
      <c r="D66" s="142" t="str">
        <f>'Sign-On'!B69</f>
        <v>Alexander Whyte</v>
      </c>
      <c r="E66" s="142" t="str">
        <f>'Sign-On'!D69</f>
        <v>Moray Firth Cycling Club</v>
      </c>
      <c r="F66" s="142" t="str">
        <f>'Sign-On'!H69</f>
        <v>202680</v>
      </c>
      <c r="G66" s="143" t="str">
        <f>'Sign-On'!F69</f>
        <v>V</v>
      </c>
      <c r="H66" s="153">
        <f t="shared" si="10"/>
        <v>0.41597222222222208</v>
      </c>
      <c r="I66" s="154"/>
      <c r="J66" s="155" t="str">
        <f t="shared" si="4"/>
        <v/>
      </c>
      <c r="K66" s="189" t="str">
        <f t="shared" si="5"/>
        <v/>
      </c>
      <c r="L66" s="155">
        <f t="shared" si="11"/>
        <v>3.2823719113005728E-3</v>
      </c>
      <c r="M66" s="155" t="str">
        <f t="shared" si="6"/>
        <v/>
      </c>
      <c r="N66" s="189" t="str">
        <f t="shared" si="7"/>
        <v/>
      </c>
      <c r="O66" s="155">
        <f t="shared" si="12"/>
        <v>1.9791666666666666E-2</v>
      </c>
      <c r="P66" s="145" t="str">
        <f t="shared" si="8"/>
        <v/>
      </c>
      <c r="Q66" s="230" t="str">
        <f t="shared" si="9"/>
        <v/>
      </c>
      <c r="R66" s="233"/>
    </row>
    <row r="67" spans="1:18" ht="14.1" customHeight="1">
      <c r="A67" t="e">
        <f t="shared" si="2"/>
        <v>#VALUE!</v>
      </c>
      <c r="B67" t="e">
        <f t="shared" si="3"/>
        <v>#VALUE!</v>
      </c>
      <c r="C67" s="152">
        <f>'Sign-On'!A70</f>
        <v>60</v>
      </c>
      <c r="D67" s="142" t="str">
        <f>'Sign-On'!B70</f>
        <v>Thomas Gelati</v>
      </c>
      <c r="E67" s="142" t="str">
        <f>'Sign-On'!D70</f>
        <v>Handsling Alba Development Road Team</v>
      </c>
      <c r="F67" s="142" t="str">
        <f>'Sign-On'!H70</f>
        <v>1198488</v>
      </c>
      <c r="G67" s="143" t="str">
        <f>'Sign-On'!F70</f>
        <v>S</v>
      </c>
      <c r="H67" s="153">
        <f t="shared" si="10"/>
        <v>0.41666666666666652</v>
      </c>
      <c r="I67" s="154"/>
      <c r="J67" s="155" t="str">
        <f t="shared" si="4"/>
        <v/>
      </c>
      <c r="K67" s="189" t="str">
        <f t="shared" si="5"/>
        <v/>
      </c>
      <c r="L67" s="155">
        <f t="shared" si="11"/>
        <v>6.8717625453844152E-5</v>
      </c>
      <c r="M67" s="155" t="str">
        <f t="shared" si="6"/>
        <v/>
      </c>
      <c r="N67" s="189" t="str">
        <f t="shared" si="7"/>
        <v/>
      </c>
      <c r="O67" s="155" t="str">
        <f t="shared" si="12"/>
        <v/>
      </c>
      <c r="P67" s="145" t="str">
        <f t="shared" si="8"/>
        <v/>
      </c>
      <c r="Q67" s="230" t="str">
        <f t="shared" si="9"/>
        <v/>
      </c>
      <c r="R67" s="233"/>
    </row>
    <row r="68" spans="1:18" ht="14.1" customHeight="1">
      <c r="A68">
        <f t="shared" si="2"/>
        <v>39</v>
      </c>
      <c r="B68">
        <f t="shared" si="3"/>
        <v>34</v>
      </c>
      <c r="C68" s="152">
        <f>'Sign-On'!A71</f>
        <v>61</v>
      </c>
      <c r="D68" s="142" t="str">
        <f>'Sign-On'!B71</f>
        <v>Darren Wisniewski</v>
      </c>
      <c r="E68" s="142" t="str">
        <f>'Sign-On'!D71</f>
        <v/>
      </c>
      <c r="F68" s="142" t="str">
        <f>'Sign-On'!H71</f>
        <v>1863190</v>
      </c>
      <c r="G68" s="143" t="str">
        <f>'Sign-On'!F71</f>
        <v>S</v>
      </c>
      <c r="H68" s="153">
        <f t="shared" si="10"/>
        <v>0.41736111111111096</v>
      </c>
      <c r="I68" s="154">
        <v>0.43484953703703705</v>
      </c>
      <c r="J68" s="155">
        <f t="shared" si="4"/>
        <v>1.7488425925926088E-2</v>
      </c>
      <c r="K68" s="189">
        <f t="shared" si="5"/>
        <v>1.7488493925926087E-2</v>
      </c>
      <c r="L68" s="155">
        <f t="shared" si="11"/>
        <v>2.996548982061001E-3</v>
      </c>
      <c r="M68" s="155">
        <f t="shared" si="6"/>
        <v>1.4491876943865088E-2</v>
      </c>
      <c r="N68" s="189">
        <f t="shared" si="7"/>
        <v>1.4491944943865088E-2</v>
      </c>
      <c r="O68" s="155" t="str">
        <f t="shared" si="12"/>
        <v/>
      </c>
      <c r="P68" s="145" t="str">
        <f t="shared" si="8"/>
        <v/>
      </c>
      <c r="Q68" s="230" t="str">
        <f t="shared" si="9"/>
        <v/>
      </c>
      <c r="R68" s="233"/>
    </row>
    <row r="69" spans="1:18" ht="14.1" customHeight="1">
      <c r="A69">
        <f t="shared" si="2"/>
        <v>21</v>
      </c>
      <c r="B69">
        <f t="shared" si="3"/>
        <v>3</v>
      </c>
      <c r="C69" s="152">
        <f>'Sign-On'!A72</f>
        <v>62</v>
      </c>
      <c r="D69" s="142" t="str">
        <f>'Sign-On'!B72</f>
        <v>Logan Anderson</v>
      </c>
      <c r="E69" s="142" t="str">
        <f>'Sign-On'!D72</f>
        <v>Moray Firth Cycling Club</v>
      </c>
      <c r="F69" s="142" t="str">
        <f>'Sign-On'!H72</f>
        <v>1713042</v>
      </c>
      <c r="G69" s="143" t="str">
        <f>'Sign-On'!F72</f>
        <v>YM</v>
      </c>
      <c r="H69" s="153">
        <f t="shared" si="10"/>
        <v>0.4180555555555554</v>
      </c>
      <c r="I69" s="154">
        <v>0.43420138888888887</v>
      </c>
      <c r="J69" s="155">
        <f t="shared" si="4"/>
        <v>1.614583333333347E-2</v>
      </c>
      <c r="K69" s="189">
        <f t="shared" si="5"/>
        <v>1.6145902333333469E-2</v>
      </c>
      <c r="L69" s="155">
        <f t="shared" si="11"/>
        <v>3.1494387077510115E-3</v>
      </c>
      <c r="M69" s="155">
        <f t="shared" si="6"/>
        <v>1.2996394625582459E-2</v>
      </c>
      <c r="N69" s="189">
        <f t="shared" si="7"/>
        <v>1.2996463625582459E-2</v>
      </c>
      <c r="O69" s="155" t="str">
        <f t="shared" si="12"/>
        <v/>
      </c>
      <c r="P69" s="145" t="str">
        <f t="shared" si="8"/>
        <v/>
      </c>
      <c r="Q69" s="230" t="str">
        <f t="shared" si="9"/>
        <v/>
      </c>
      <c r="R69" s="233"/>
    </row>
    <row r="70" spans="1:18" ht="14.1" customHeight="1">
      <c r="A70">
        <f t="shared" si="2"/>
        <v>16</v>
      </c>
      <c r="B70">
        <f t="shared" si="3"/>
        <v>44</v>
      </c>
      <c r="C70" s="152">
        <f>'Sign-On'!A73</f>
        <v>63</v>
      </c>
      <c r="D70" s="142" t="str">
        <f>'Sign-On'!B73</f>
        <v>Alan McCaffrey</v>
      </c>
      <c r="E70" s="142" t="str">
        <f>'Sign-On'!D73</f>
        <v>Moray Firth Cycling Club</v>
      </c>
      <c r="F70" s="142" t="str">
        <f>'Sign-On'!H73</f>
        <v>428942</v>
      </c>
      <c r="G70" s="143" t="str">
        <f>'Sign-On'!F73</f>
        <v>V</v>
      </c>
      <c r="H70" s="153">
        <f t="shared" si="10"/>
        <v>0.41874999999999984</v>
      </c>
      <c r="I70" s="154">
        <v>0.43450231481481483</v>
      </c>
      <c r="J70" s="155">
        <f t="shared" si="4"/>
        <v>1.5752314814814983E-2</v>
      </c>
      <c r="K70" s="189">
        <f t="shared" si="5"/>
        <v>1.5752384814814984E-2</v>
      </c>
      <c r="L70" s="155">
        <f t="shared" si="11"/>
        <v>9.5451019331304569E-4</v>
      </c>
      <c r="M70" s="155">
        <f t="shared" si="6"/>
        <v>1.4797804621501938E-2</v>
      </c>
      <c r="N70" s="189">
        <f t="shared" si="7"/>
        <v>1.4797874621501938E-2</v>
      </c>
      <c r="O70" s="155">
        <f t="shared" si="12"/>
        <v>1.8831018518518518E-2</v>
      </c>
      <c r="P70" s="145" t="str">
        <f t="shared" si="8"/>
        <v>+</v>
      </c>
      <c r="Q70" s="230">
        <f t="shared" si="9"/>
        <v>3.078703703703535E-3</v>
      </c>
      <c r="R70" s="233"/>
    </row>
    <row r="71" spans="1:18" ht="14.1" customHeight="1">
      <c r="A71">
        <f t="shared" si="2"/>
        <v>27</v>
      </c>
      <c r="B71">
        <f t="shared" si="3"/>
        <v>18</v>
      </c>
      <c r="C71" s="152">
        <f>'Sign-On'!A74</f>
        <v>64</v>
      </c>
      <c r="D71" s="142" t="str">
        <f>'Sign-On'!B74</f>
        <v>Michael Maciver</v>
      </c>
      <c r="E71" s="142" t="str">
        <f>'Sign-On'!D74</f>
        <v>Ross-Shire RCC</v>
      </c>
      <c r="F71" s="142" t="str">
        <f>'Sign-On'!H74</f>
        <v>1053476</v>
      </c>
      <c r="G71" s="143" t="str">
        <f>'Sign-On'!F74</f>
        <v>S</v>
      </c>
      <c r="H71" s="153">
        <f t="shared" si="10"/>
        <v>0.41944444444444429</v>
      </c>
      <c r="I71" s="154">
        <v>0.43590277777777775</v>
      </c>
      <c r="J71" s="155">
        <f t="shared" si="4"/>
        <v>1.6458333333333464E-2</v>
      </c>
      <c r="K71" s="189">
        <f t="shared" si="5"/>
        <v>1.6458404333333464E-2</v>
      </c>
      <c r="L71" s="155">
        <f t="shared" si="11"/>
        <v>2.4922637246424678E-3</v>
      </c>
      <c r="M71" s="155">
        <f t="shared" si="6"/>
        <v>1.3966069608690996E-2</v>
      </c>
      <c r="N71" s="189">
        <f t="shared" si="7"/>
        <v>1.3966140608690997E-2</v>
      </c>
      <c r="O71" s="155" t="str">
        <f t="shared" si="12"/>
        <v/>
      </c>
      <c r="P71" s="145" t="str">
        <f t="shared" si="8"/>
        <v/>
      </c>
      <c r="Q71" s="230" t="str">
        <f t="shared" si="9"/>
        <v/>
      </c>
      <c r="R71" s="233"/>
    </row>
    <row r="72" spans="1:18" ht="14.1" customHeight="1">
      <c r="A72">
        <f t="shared" si="2"/>
        <v>3</v>
      </c>
      <c r="B72" t="e">
        <f t="shared" si="3"/>
        <v>#VALUE!</v>
      </c>
      <c r="C72" s="152">
        <f>'Sign-On'!A75</f>
        <v>65</v>
      </c>
      <c r="D72" s="142" t="str">
        <f>'Sign-On'!B75</f>
        <v>Matiss Robertson</v>
      </c>
      <c r="E72" s="142" t="str">
        <f>'Sign-On'!D75</f>
        <v>RT23</v>
      </c>
      <c r="F72" s="142" t="str">
        <f>'Sign-On'!H75</f>
        <v>1458410</v>
      </c>
      <c r="G72" s="143" t="str">
        <f>'Sign-On'!F75</f>
        <v>S</v>
      </c>
      <c r="H72" s="153">
        <f t="shared" si="10"/>
        <v>0.42013888888888873</v>
      </c>
      <c r="I72" s="154">
        <v>0.43427083333333333</v>
      </c>
      <c r="J72" s="155">
        <f t="shared" si="4"/>
        <v>1.41319444444446E-2</v>
      </c>
      <c r="K72" s="189">
        <f t="shared" si="5"/>
        <v>1.41320164444446E-2</v>
      </c>
      <c r="L72" s="155" t="str">
        <f t="shared" ref="L72:L103" si="13">IF(ISERROR(VLOOKUP(C72,Entrants,16,FALSE)),"",VLOOKUP(C72,Entrants,16,FALSE))</f>
        <v/>
      </c>
      <c r="M72" s="155" t="str">
        <f t="shared" si="6"/>
        <v/>
      </c>
      <c r="N72" s="189" t="str">
        <f t="shared" si="7"/>
        <v/>
      </c>
      <c r="O72" s="155" t="str">
        <f t="shared" ref="O72:O103" si="14">IF(ISERROR(VLOOKUP(C72,Entrants,20,FALSE)),"",VLOOKUP(C72,Entrants,20,FALSE))</f>
        <v/>
      </c>
      <c r="P72" s="145" t="str">
        <f t="shared" si="8"/>
        <v/>
      </c>
      <c r="Q72" s="230" t="str">
        <f t="shared" si="9"/>
        <v/>
      </c>
      <c r="R72" s="233"/>
    </row>
    <row r="73" spans="1:18" ht="14.1" customHeight="1">
      <c r="A73">
        <f t="shared" ref="A73:A136" si="15">RANK(K73,$K$8:$K$208,1)</f>
        <v>9</v>
      </c>
      <c r="B73">
        <f t="shared" ref="B73:B136" si="16">RANK(N73,$N$8:$N$208,1)</f>
        <v>8</v>
      </c>
      <c r="C73" s="152">
        <f>'Sign-On'!A76</f>
        <v>66</v>
      </c>
      <c r="D73" s="142" t="str">
        <f>'Sign-On'!B76</f>
        <v>Scott Davidson</v>
      </c>
      <c r="E73" s="142" t="str">
        <f>'Sign-On'!D76</f>
        <v>Moray Firth Cycling Club</v>
      </c>
      <c r="F73" s="142" t="str">
        <f>'Sign-On'!H76</f>
        <v>1346317</v>
      </c>
      <c r="G73" s="143" t="str">
        <f>'Sign-On'!F76</f>
        <v>S</v>
      </c>
      <c r="H73" s="153">
        <f t="shared" si="10"/>
        <v>0.42083333333333317</v>
      </c>
      <c r="I73" s="154">
        <v>0.43546296296296294</v>
      </c>
      <c r="J73" s="155">
        <f t="shared" ref="J73:J136" si="17">IF(I73="","",I73-H73)</f>
        <v>1.462962962962977E-2</v>
      </c>
      <c r="K73" s="189">
        <f t="shared" ref="K73:K136" si="18">IF(IF(AND(J73="",D73=""),"",IF(AND(J73&lt;&gt;"",D73&lt;&gt;""),J73+0.000000001*ROW(),IF(AND(J73="",D73&lt;&gt;""),5*ROW())))&gt;1,"",IF(AND(J73="",D73=""),"",IF(AND(J73&lt;&gt;"",D73&lt;&gt;""),J73+0.000000001*ROW(),IF(AND(J73="",D73&lt;&gt;""),5*ROW()))))</f>
        <v>1.462970262962977E-2</v>
      </c>
      <c r="L73" s="155">
        <f t="shared" si="13"/>
        <v>9.2265082920595489E-4</v>
      </c>
      <c r="M73" s="155">
        <f t="shared" ref="M73:M136" si="19">IF(OR(L73="",J73=""),"",J73-L73)</f>
        <v>1.3706978800423816E-2</v>
      </c>
      <c r="N73" s="189">
        <f t="shared" ref="N73:N136" si="20">IF(IF(AND(M73="",D73=""),"",IF(AND(M73&lt;&gt;"",D73&lt;&gt;""),M73+0.000000001*ROW(),IF(AND(M73="",D73&lt;&gt;""),5*ROW())))&gt;1,"",IF(AND(M73="",D73=""),"",IF(AND(M73&lt;&gt;"",D73&lt;&gt;""),M73+0.000000001*ROW(),IF(AND(M73="",D73&lt;&gt;""),5*ROW()))))</f>
        <v>1.3707051800423815E-2</v>
      </c>
      <c r="O73" s="155" t="str">
        <f t="shared" si="14"/>
        <v/>
      </c>
      <c r="P73" s="145" t="str">
        <f t="shared" ref="P73:P136" si="21">IF(OR(O73="",J73=""),"",IF(J73&gt;O73,"-","+"))</f>
        <v/>
      </c>
      <c r="Q73" s="230" t="str">
        <f t="shared" ref="Q73:Q136" si="22">IF(OR(O73="",J73=""),"",IF(J73&gt;O73,J73-O73,O73-J73))</f>
        <v/>
      </c>
      <c r="R73" s="233"/>
    </row>
    <row r="74" spans="1:18" ht="14.1" customHeight="1">
      <c r="A74">
        <f t="shared" si="15"/>
        <v>28</v>
      </c>
      <c r="B74" t="e">
        <f t="shared" si="16"/>
        <v>#VALUE!</v>
      </c>
      <c r="C74" s="152">
        <f>'Sign-On'!A77</f>
        <v>67</v>
      </c>
      <c r="D74" s="142" t="str">
        <f>'Sign-On'!B77</f>
        <v>William Sutherland</v>
      </c>
      <c r="E74" s="142" t="str">
        <f>'Sign-On'!D77</f>
        <v>Ross-Shire RCC</v>
      </c>
      <c r="F74" s="142" t="str">
        <f>'Sign-On'!H77</f>
        <v>1713297</v>
      </c>
      <c r="G74" s="143" t="str">
        <f>'Sign-On'!F77</f>
        <v>S</v>
      </c>
      <c r="H74" s="153">
        <f t="shared" ref="H74:H137" si="23">H73+1/1440</f>
        <v>0.42152777777777761</v>
      </c>
      <c r="I74" s="154">
        <v>0.43805555555555553</v>
      </c>
      <c r="J74" s="155">
        <f t="shared" si="17"/>
        <v>1.6527777777777919E-2</v>
      </c>
      <c r="K74" s="189">
        <f t="shared" si="18"/>
        <v>1.6527851777777918E-2</v>
      </c>
      <c r="L74" s="155" t="str">
        <f t="shared" si="13"/>
        <v/>
      </c>
      <c r="M74" s="155" t="str">
        <f t="shared" si="19"/>
        <v/>
      </c>
      <c r="N74" s="189" t="str">
        <f t="shared" si="20"/>
        <v/>
      </c>
      <c r="O74" s="155" t="str">
        <f t="shared" si="14"/>
        <v/>
      </c>
      <c r="P74" s="145" t="str">
        <f t="shared" si="21"/>
        <v/>
      </c>
      <c r="Q74" s="230" t="str">
        <f t="shared" si="22"/>
        <v/>
      </c>
      <c r="R74" s="233"/>
    </row>
    <row r="75" spans="1:18" ht="14.1" customHeight="1">
      <c r="A75">
        <f t="shared" si="15"/>
        <v>12</v>
      </c>
      <c r="B75">
        <f t="shared" si="16"/>
        <v>39</v>
      </c>
      <c r="C75" s="152">
        <f>'Sign-On'!A78</f>
        <v>68</v>
      </c>
      <c r="D75" s="142" t="str">
        <f>'Sign-On'!B78</f>
        <v>Mark Dryburgh</v>
      </c>
      <c r="E75" s="142" t="str">
        <f>'Sign-On'!D78</f>
        <v>Ross-Shire RCC</v>
      </c>
      <c r="F75" s="142" t="str">
        <f>'Sign-On'!H78</f>
        <v>968561</v>
      </c>
      <c r="G75" s="143" t="str">
        <f>'Sign-On'!F78</f>
        <v>V</v>
      </c>
      <c r="H75" s="153">
        <f t="shared" si="23"/>
        <v>0.42222222222222205</v>
      </c>
      <c r="I75" s="154">
        <v>0.43759259259259259</v>
      </c>
      <c r="J75" s="155">
        <f t="shared" si="17"/>
        <v>1.5370370370370534E-2</v>
      </c>
      <c r="K75" s="189">
        <f t="shared" si="18"/>
        <v>1.5370445370370535E-2</v>
      </c>
      <c r="L75" s="155">
        <f t="shared" si="13"/>
        <v>7.516862956892089E-4</v>
      </c>
      <c r="M75" s="155">
        <f t="shared" si="19"/>
        <v>1.4618684074681325E-2</v>
      </c>
      <c r="N75" s="189">
        <f t="shared" si="20"/>
        <v>1.4618759074681326E-2</v>
      </c>
      <c r="O75" s="155">
        <f t="shared" si="14"/>
        <v>1.8784722222222223E-2</v>
      </c>
      <c r="P75" s="145" t="str">
        <f t="shared" si="21"/>
        <v>+</v>
      </c>
      <c r="Q75" s="230">
        <f t="shared" si="22"/>
        <v>3.4143518518516894E-3</v>
      </c>
      <c r="R75" s="233"/>
    </row>
    <row r="76" spans="1:18" ht="14.1" customHeight="1">
      <c r="A76" t="e">
        <f t="shared" si="15"/>
        <v>#VALUE!</v>
      </c>
      <c r="B76" t="e">
        <f t="shared" si="16"/>
        <v>#VALUE!</v>
      </c>
      <c r="C76" s="152">
        <f>'Sign-On'!A79</f>
        <v>69</v>
      </c>
      <c r="D76" s="142" t="str">
        <f>'Sign-On'!B79</f>
        <v>David Hutcheson</v>
      </c>
      <c r="E76" s="142" t="str">
        <f>'Sign-On'!D79</f>
        <v>RT23</v>
      </c>
      <c r="F76" s="142" t="str">
        <f>'Sign-On'!H79</f>
        <v>1775168</v>
      </c>
      <c r="G76" s="143" t="str">
        <f>'Sign-On'!F79</f>
        <v>S</v>
      </c>
      <c r="H76" s="153">
        <f t="shared" si="23"/>
        <v>0.4229166666666665</v>
      </c>
      <c r="I76" s="154"/>
      <c r="J76" s="155" t="str">
        <f t="shared" si="17"/>
        <v/>
      </c>
      <c r="K76" s="189" t="str">
        <f t="shared" si="18"/>
        <v/>
      </c>
      <c r="L76" s="155">
        <f t="shared" si="13"/>
        <v>8.1600944879515016E-4</v>
      </c>
      <c r="M76" s="155" t="str">
        <f t="shared" si="19"/>
        <v/>
      </c>
      <c r="N76" s="189" t="str">
        <f t="shared" si="20"/>
        <v/>
      </c>
      <c r="O76" s="155" t="str">
        <f t="shared" si="14"/>
        <v/>
      </c>
      <c r="P76" s="145" t="str">
        <f t="shared" si="21"/>
        <v/>
      </c>
      <c r="Q76" s="230" t="str">
        <f t="shared" si="22"/>
        <v/>
      </c>
      <c r="R76" s="233"/>
    </row>
    <row r="77" spans="1:18" ht="14.1" customHeight="1">
      <c r="A77" t="e">
        <f t="shared" si="15"/>
        <v>#VALUE!</v>
      </c>
      <c r="B77" t="e">
        <f t="shared" si="16"/>
        <v>#VALUE!</v>
      </c>
      <c r="C77" s="152">
        <f>'Sign-On'!A80</f>
        <v>70</v>
      </c>
      <c r="D77" s="142" t="str">
        <f>'Sign-On'!B80</f>
        <v>Christopher Little</v>
      </c>
      <c r="E77" s="142" t="str">
        <f>'Sign-On'!D80</f>
        <v>Studio Velo</v>
      </c>
      <c r="F77" s="142" t="str">
        <f>'Sign-On'!H80</f>
        <v>1705834</v>
      </c>
      <c r="G77" s="143" t="str">
        <f>'Sign-On'!F80</f>
        <v>S</v>
      </c>
      <c r="H77" s="153">
        <f t="shared" si="23"/>
        <v>0.42361111111111094</v>
      </c>
      <c r="I77" s="154"/>
      <c r="J77" s="155" t="str">
        <f t="shared" si="17"/>
        <v/>
      </c>
      <c r="K77" s="189" t="str">
        <f t="shared" si="18"/>
        <v/>
      </c>
      <c r="L77" s="155" t="str">
        <f t="shared" si="13"/>
        <v/>
      </c>
      <c r="M77" s="155" t="str">
        <f t="shared" si="19"/>
        <v/>
      </c>
      <c r="N77" s="189" t="str">
        <f t="shared" si="20"/>
        <v/>
      </c>
      <c r="O77" s="155" t="str">
        <f t="shared" si="14"/>
        <v/>
      </c>
      <c r="P77" s="145" t="str">
        <f t="shared" si="21"/>
        <v/>
      </c>
      <c r="Q77" s="230" t="str">
        <f t="shared" si="22"/>
        <v/>
      </c>
      <c r="R77" s="233"/>
    </row>
    <row r="78" spans="1:18" ht="14.1" customHeight="1">
      <c r="A78" t="e">
        <f t="shared" si="15"/>
        <v>#VALUE!</v>
      </c>
      <c r="B78" t="e">
        <f t="shared" si="16"/>
        <v>#VALUE!</v>
      </c>
      <c r="C78" s="152">
        <f>'Sign-On'!A81</f>
        <v>71</v>
      </c>
      <c r="D78" s="142" t="str">
        <f>'Sign-On'!B81</f>
        <v>Kevin Smith</v>
      </c>
      <c r="E78" s="142" t="str">
        <f>'Sign-On'!D81</f>
        <v>Moray Firth Cycling Club</v>
      </c>
      <c r="F78" s="142" t="str">
        <f>'Sign-On'!H81</f>
        <v>1253030</v>
      </c>
      <c r="G78" s="143" t="str">
        <f>'Sign-On'!F81</f>
        <v>V</v>
      </c>
      <c r="H78" s="153">
        <f t="shared" si="23"/>
        <v>0.42430555555555538</v>
      </c>
      <c r="I78" s="154"/>
      <c r="J78" s="155" t="str">
        <f t="shared" si="17"/>
        <v/>
      </c>
      <c r="K78" s="189" t="str">
        <f t="shared" si="18"/>
        <v/>
      </c>
      <c r="L78" s="155">
        <f t="shared" si="13"/>
        <v>2.3347250237111187E-3</v>
      </c>
      <c r="M78" s="155" t="str">
        <f t="shared" si="19"/>
        <v/>
      </c>
      <c r="N78" s="189" t="str">
        <f t="shared" si="20"/>
        <v/>
      </c>
      <c r="O78" s="155">
        <f t="shared" si="14"/>
        <v>1.8310185185185186E-2</v>
      </c>
      <c r="P78" s="145" t="str">
        <f t="shared" si="21"/>
        <v/>
      </c>
      <c r="Q78" s="230" t="str">
        <f t="shared" si="22"/>
        <v/>
      </c>
      <c r="R78" s="233"/>
    </row>
    <row r="79" spans="1:18" ht="14.1" customHeight="1">
      <c r="A79">
        <f t="shared" si="15"/>
        <v>13</v>
      </c>
      <c r="B79">
        <f t="shared" si="16"/>
        <v>42</v>
      </c>
      <c r="C79" s="152">
        <f>'Sign-On'!A82</f>
        <v>72</v>
      </c>
      <c r="D79" s="142" t="str">
        <f>'Sign-On'!B82</f>
        <v>Dean Cunningham</v>
      </c>
      <c r="E79" s="142" t="str">
        <f>'Sign-On'!D82</f>
        <v>Torvelo Racing</v>
      </c>
      <c r="F79" s="142" t="str">
        <f>'Sign-On'!H82</f>
        <v>1175717</v>
      </c>
      <c r="G79" s="143" t="str">
        <f>'Sign-On'!F82</f>
        <v>S</v>
      </c>
      <c r="H79" s="153">
        <f t="shared" si="23"/>
        <v>0.42499999999999982</v>
      </c>
      <c r="I79" s="154">
        <v>0.44050925925925927</v>
      </c>
      <c r="J79" s="155">
        <f t="shared" si="17"/>
        <v>1.5509259259259445E-2</v>
      </c>
      <c r="K79" s="189">
        <f t="shared" si="18"/>
        <v>1.5509338259259445E-2</v>
      </c>
      <c r="L79" s="155">
        <f t="shared" si="13"/>
        <v>7.9459720063438061E-4</v>
      </c>
      <c r="M79" s="155">
        <f t="shared" si="19"/>
        <v>1.4714662058625065E-2</v>
      </c>
      <c r="N79" s="189">
        <f t="shared" si="20"/>
        <v>1.4714741058625065E-2</v>
      </c>
      <c r="O79" s="155" t="str">
        <f t="shared" si="14"/>
        <v/>
      </c>
      <c r="P79" s="145" t="str">
        <f t="shared" si="21"/>
        <v/>
      </c>
      <c r="Q79" s="230" t="str">
        <f t="shared" si="22"/>
        <v/>
      </c>
      <c r="R79" s="233"/>
    </row>
    <row r="80" spans="1:18" ht="14.1" customHeight="1">
      <c r="A80">
        <f t="shared" si="15"/>
        <v>1</v>
      </c>
      <c r="B80" t="e">
        <f t="shared" si="16"/>
        <v>#VALUE!</v>
      </c>
      <c r="C80" s="152">
        <f>'Sign-On'!A83</f>
        <v>73</v>
      </c>
      <c r="D80" s="142" t="str">
        <f>'Sign-On'!B83</f>
        <v>Oliver Pemberton</v>
      </c>
      <c r="E80" s="142" t="str">
        <f>'Sign-On'!D83</f>
        <v>Vanelli-Project Go</v>
      </c>
      <c r="F80" s="142" t="str">
        <f>'Sign-On'!H83</f>
        <v>1826973</v>
      </c>
      <c r="G80" s="143" t="str">
        <f>'Sign-On'!F83</f>
        <v>S</v>
      </c>
      <c r="H80" s="153">
        <f t="shared" si="23"/>
        <v>0.42569444444444426</v>
      </c>
      <c r="I80" s="154">
        <v>0.43929398148148147</v>
      </c>
      <c r="J80" s="155">
        <f t="shared" si="17"/>
        <v>1.3599537037037202E-2</v>
      </c>
      <c r="K80" s="189">
        <f t="shared" si="18"/>
        <v>1.3599617037037201E-2</v>
      </c>
      <c r="L80" s="155" t="str">
        <f t="shared" si="13"/>
        <v/>
      </c>
      <c r="M80" s="155" t="str">
        <f t="shared" si="19"/>
        <v/>
      </c>
      <c r="N80" s="189" t="str">
        <f t="shared" si="20"/>
        <v/>
      </c>
      <c r="O80" s="155" t="str">
        <f t="shared" si="14"/>
        <v/>
      </c>
      <c r="P80" s="145" t="str">
        <f t="shared" si="21"/>
        <v/>
      </c>
      <c r="Q80" s="230" t="str">
        <f t="shared" si="22"/>
        <v/>
      </c>
      <c r="R80" s="233"/>
    </row>
    <row r="81" spans="1:18" ht="14.1" customHeight="1">
      <c r="A81" t="e">
        <f t="shared" si="15"/>
        <v>#VALUE!</v>
      </c>
      <c r="B81" t="e">
        <f t="shared" si="16"/>
        <v>#VALUE!</v>
      </c>
      <c r="C81" s="152">
        <f>'Sign-On'!A84</f>
        <v>74</v>
      </c>
      <c r="D81" s="142" t="str">
        <f>'Sign-On'!B84</f>
        <v>Norman Skene</v>
      </c>
      <c r="E81" s="142" t="str">
        <f>'Sign-On'!D84</f>
        <v>Velocity 44 RT</v>
      </c>
      <c r="F81" s="142" t="str">
        <f>'Sign-On'!H84</f>
        <v>202406</v>
      </c>
      <c r="G81" s="143" t="str">
        <f>'Sign-On'!F84</f>
        <v>V</v>
      </c>
      <c r="H81" s="153">
        <f t="shared" si="23"/>
        <v>0.42638888888888871</v>
      </c>
      <c r="I81" s="154"/>
      <c r="J81" s="155" t="str">
        <f t="shared" si="17"/>
        <v/>
      </c>
      <c r="K81" s="189" t="str">
        <f t="shared" si="18"/>
        <v/>
      </c>
      <c r="L81" s="155">
        <f t="shared" si="13"/>
        <v>1.9558124165231449E-3</v>
      </c>
      <c r="M81" s="155" t="str">
        <f t="shared" si="19"/>
        <v/>
      </c>
      <c r="N81" s="189" t="str">
        <f t="shared" si="20"/>
        <v/>
      </c>
      <c r="O81" s="155">
        <f t="shared" si="14"/>
        <v>2.011574074074074E-2</v>
      </c>
      <c r="P81" s="145" t="str">
        <f t="shared" si="21"/>
        <v/>
      </c>
      <c r="Q81" s="230" t="str">
        <f t="shared" si="22"/>
        <v/>
      </c>
      <c r="R81" s="233"/>
    </row>
    <row r="82" spans="1:18" ht="14.1" customHeight="1">
      <c r="A82">
        <f t="shared" si="15"/>
        <v>2</v>
      </c>
      <c r="B82" t="e">
        <f t="shared" si="16"/>
        <v>#VALUE!</v>
      </c>
      <c r="C82" s="152">
        <f>'Sign-On'!A85</f>
        <v>75</v>
      </c>
      <c r="D82" s="142" t="str">
        <f>'Sign-On'!B85</f>
        <v>Graham Hollinger</v>
      </c>
      <c r="E82" s="142" t="str">
        <f>'Sign-On'!D85</f>
        <v>Torvelo Racing</v>
      </c>
      <c r="F82" s="142" t="str">
        <f>'Sign-On'!H85</f>
        <v>1673941</v>
      </c>
      <c r="G82" s="143" t="str">
        <f>'Sign-On'!F85</f>
        <v>S</v>
      </c>
      <c r="H82" s="153">
        <f t="shared" si="23"/>
        <v>0.42708333333333315</v>
      </c>
      <c r="I82" s="154">
        <v>0.44077546296296294</v>
      </c>
      <c r="J82" s="155">
        <f t="shared" si="17"/>
        <v>1.369212962962979E-2</v>
      </c>
      <c r="K82" s="189">
        <f t="shared" si="18"/>
        <v>1.369221162962979E-2</v>
      </c>
      <c r="L82" s="155" t="str">
        <f t="shared" si="13"/>
        <v/>
      </c>
      <c r="M82" s="155" t="str">
        <f t="shared" si="19"/>
        <v/>
      </c>
      <c r="N82" s="189" t="str">
        <f t="shared" si="20"/>
        <v/>
      </c>
      <c r="O82" s="155" t="str">
        <f t="shared" si="14"/>
        <v/>
      </c>
      <c r="P82" s="145" t="str">
        <f t="shared" si="21"/>
        <v/>
      </c>
      <c r="Q82" s="230" t="str">
        <f t="shared" si="22"/>
        <v/>
      </c>
      <c r="R82" s="233"/>
    </row>
    <row r="83" spans="1:18" ht="14.1" customHeight="1">
      <c r="A83" t="e">
        <f t="shared" si="15"/>
        <v>#VALUE!</v>
      </c>
      <c r="B83" t="e">
        <f t="shared" si="16"/>
        <v>#VALUE!</v>
      </c>
      <c r="C83" s="152">
        <f>'Sign-On'!A86</f>
        <v>76</v>
      </c>
      <c r="D83" s="142" t="str">
        <f>'Sign-On'!B86</f>
        <v/>
      </c>
      <c r="E83" s="142" t="str">
        <f>'Sign-On'!D86</f>
        <v/>
      </c>
      <c r="F83" s="142" t="str">
        <f>'Sign-On'!H86</f>
        <v/>
      </c>
      <c r="G83" s="143" t="str">
        <f>'Sign-On'!F86</f>
        <v/>
      </c>
      <c r="H83" s="153">
        <f t="shared" si="23"/>
        <v>0.42777777777777759</v>
      </c>
      <c r="I83" s="154"/>
      <c r="J83" s="155" t="str">
        <f t="shared" si="17"/>
        <v/>
      </c>
      <c r="K83" s="189" t="str">
        <f t="shared" si="18"/>
        <v/>
      </c>
      <c r="L83" s="155" t="str">
        <f t="shared" si="13"/>
        <v/>
      </c>
      <c r="M83" s="155" t="str">
        <f t="shared" si="19"/>
        <v/>
      </c>
      <c r="N83" s="189" t="str">
        <f t="shared" si="20"/>
        <v/>
      </c>
      <c r="O83" s="155" t="str">
        <f t="shared" si="14"/>
        <v/>
      </c>
      <c r="P83" s="145" t="str">
        <f t="shared" si="21"/>
        <v/>
      </c>
      <c r="Q83" s="230" t="str">
        <f t="shared" si="22"/>
        <v/>
      </c>
      <c r="R83" s="233"/>
    </row>
    <row r="84" spans="1:18" ht="14.1" customHeight="1">
      <c r="A84" t="e">
        <f t="shared" si="15"/>
        <v>#VALUE!</v>
      </c>
      <c r="B84" t="e">
        <f t="shared" si="16"/>
        <v>#VALUE!</v>
      </c>
      <c r="C84" s="152">
        <f>'Sign-On'!A87</f>
        <v>77</v>
      </c>
      <c r="D84" s="142" t="str">
        <f>'Sign-On'!B87</f>
        <v/>
      </c>
      <c r="E84" s="142" t="str">
        <f>'Sign-On'!D87</f>
        <v/>
      </c>
      <c r="F84" s="142" t="str">
        <f>'Sign-On'!H87</f>
        <v/>
      </c>
      <c r="G84" s="143" t="str">
        <f>'Sign-On'!F87</f>
        <v/>
      </c>
      <c r="H84" s="153">
        <f t="shared" si="23"/>
        <v>0.42847222222222203</v>
      </c>
      <c r="I84" s="154"/>
      <c r="J84" s="155" t="str">
        <f t="shared" si="17"/>
        <v/>
      </c>
      <c r="K84" s="189" t="str">
        <f t="shared" si="18"/>
        <v/>
      </c>
      <c r="L84" s="155" t="str">
        <f t="shared" si="13"/>
        <v/>
      </c>
      <c r="M84" s="155" t="str">
        <f t="shared" si="19"/>
        <v/>
      </c>
      <c r="N84" s="189" t="str">
        <f t="shared" si="20"/>
        <v/>
      </c>
      <c r="O84" s="155" t="str">
        <f t="shared" si="14"/>
        <v/>
      </c>
      <c r="P84" s="145" t="str">
        <f t="shared" si="21"/>
        <v/>
      </c>
      <c r="Q84" s="230" t="str">
        <f t="shared" si="22"/>
        <v/>
      </c>
      <c r="R84" s="233"/>
    </row>
    <row r="85" spans="1:18" ht="14.1" customHeight="1">
      <c r="A85" t="e">
        <f t="shared" si="15"/>
        <v>#VALUE!</v>
      </c>
      <c r="B85" t="e">
        <f t="shared" si="16"/>
        <v>#VALUE!</v>
      </c>
      <c r="C85" s="152">
        <f>'Sign-On'!A88</f>
        <v>78</v>
      </c>
      <c r="D85" s="142" t="str">
        <f>'Sign-On'!B88</f>
        <v/>
      </c>
      <c r="E85" s="142" t="str">
        <f>'Sign-On'!D88</f>
        <v/>
      </c>
      <c r="F85" s="142" t="str">
        <f>'Sign-On'!H88</f>
        <v/>
      </c>
      <c r="G85" s="143" t="str">
        <f>'Sign-On'!F88</f>
        <v/>
      </c>
      <c r="H85" s="153">
        <f t="shared" si="23"/>
        <v>0.42916666666666647</v>
      </c>
      <c r="I85" s="154"/>
      <c r="J85" s="155" t="str">
        <f t="shared" si="17"/>
        <v/>
      </c>
      <c r="K85" s="189" t="str">
        <f t="shared" si="18"/>
        <v/>
      </c>
      <c r="L85" s="155" t="str">
        <f t="shared" si="13"/>
        <v/>
      </c>
      <c r="M85" s="155" t="str">
        <f t="shared" si="19"/>
        <v/>
      </c>
      <c r="N85" s="189" t="str">
        <f t="shared" si="20"/>
        <v/>
      </c>
      <c r="O85" s="155" t="str">
        <f t="shared" si="14"/>
        <v/>
      </c>
      <c r="P85" s="145" t="str">
        <f t="shared" si="21"/>
        <v/>
      </c>
      <c r="Q85" s="230" t="str">
        <f t="shared" si="22"/>
        <v/>
      </c>
      <c r="R85" s="233"/>
    </row>
    <row r="86" spans="1:18" ht="14.1" customHeight="1">
      <c r="A86" t="e">
        <f t="shared" si="15"/>
        <v>#VALUE!</v>
      </c>
      <c r="B86" t="e">
        <f t="shared" si="16"/>
        <v>#VALUE!</v>
      </c>
      <c r="C86" s="152">
        <f>'Sign-On'!A89</f>
        <v>79</v>
      </c>
      <c r="D86" s="142" t="str">
        <f>'Sign-On'!B89</f>
        <v/>
      </c>
      <c r="E86" s="142" t="str">
        <f>'Sign-On'!D89</f>
        <v/>
      </c>
      <c r="F86" s="142" t="str">
        <f>'Sign-On'!H89</f>
        <v/>
      </c>
      <c r="G86" s="143" t="str">
        <f>'Sign-On'!F89</f>
        <v/>
      </c>
      <c r="H86" s="153">
        <f t="shared" si="23"/>
        <v>0.42986111111111092</v>
      </c>
      <c r="I86" s="154"/>
      <c r="J86" s="155" t="str">
        <f t="shared" si="17"/>
        <v/>
      </c>
      <c r="K86" s="189" t="str">
        <f t="shared" si="18"/>
        <v/>
      </c>
      <c r="L86" s="155" t="str">
        <f t="shared" si="13"/>
        <v/>
      </c>
      <c r="M86" s="155" t="str">
        <f t="shared" si="19"/>
        <v/>
      </c>
      <c r="N86" s="189" t="str">
        <f t="shared" si="20"/>
        <v/>
      </c>
      <c r="O86" s="155" t="str">
        <f t="shared" si="14"/>
        <v/>
      </c>
      <c r="P86" s="145" t="str">
        <f t="shared" si="21"/>
        <v/>
      </c>
      <c r="Q86" s="230" t="str">
        <f t="shared" si="22"/>
        <v/>
      </c>
      <c r="R86" s="233"/>
    </row>
    <row r="87" spans="1:18" ht="14.1" customHeight="1">
      <c r="A87" t="e">
        <f t="shared" si="15"/>
        <v>#VALUE!</v>
      </c>
      <c r="B87" t="e">
        <f t="shared" si="16"/>
        <v>#VALUE!</v>
      </c>
      <c r="C87" s="152">
        <f>'Sign-On'!A90</f>
        <v>80</v>
      </c>
      <c r="D87" s="142" t="str">
        <f>'Sign-On'!B90</f>
        <v/>
      </c>
      <c r="E87" s="142" t="str">
        <f>'Sign-On'!D90</f>
        <v/>
      </c>
      <c r="F87" s="142" t="str">
        <f>'Sign-On'!H90</f>
        <v/>
      </c>
      <c r="G87" s="143" t="str">
        <f>'Sign-On'!F90</f>
        <v/>
      </c>
      <c r="H87" s="153">
        <f t="shared" si="23"/>
        <v>0.43055555555555536</v>
      </c>
      <c r="I87" s="154"/>
      <c r="J87" s="155" t="str">
        <f t="shared" si="17"/>
        <v/>
      </c>
      <c r="K87" s="189" t="str">
        <f t="shared" si="18"/>
        <v/>
      </c>
      <c r="L87" s="155" t="str">
        <f t="shared" si="13"/>
        <v/>
      </c>
      <c r="M87" s="155" t="str">
        <f t="shared" si="19"/>
        <v/>
      </c>
      <c r="N87" s="189" t="str">
        <f t="shared" si="20"/>
        <v/>
      </c>
      <c r="O87" s="155" t="str">
        <f t="shared" si="14"/>
        <v/>
      </c>
      <c r="P87" s="145" t="str">
        <f t="shared" si="21"/>
        <v/>
      </c>
      <c r="Q87" s="230" t="str">
        <f t="shared" si="22"/>
        <v/>
      </c>
      <c r="R87" s="233"/>
    </row>
    <row r="88" spans="1:18" ht="14.1" customHeight="1">
      <c r="A88" t="e">
        <f t="shared" si="15"/>
        <v>#VALUE!</v>
      </c>
      <c r="B88" t="e">
        <f t="shared" si="16"/>
        <v>#VALUE!</v>
      </c>
      <c r="C88" s="152">
        <f>'Sign-On'!A91</f>
        <v>81</v>
      </c>
      <c r="D88" s="142" t="str">
        <f>'Sign-On'!B91</f>
        <v/>
      </c>
      <c r="E88" s="142" t="str">
        <f>'Sign-On'!D91</f>
        <v/>
      </c>
      <c r="F88" s="142" t="str">
        <f>'Sign-On'!H91</f>
        <v/>
      </c>
      <c r="G88" s="143" t="str">
        <f>'Sign-On'!F91</f>
        <v/>
      </c>
      <c r="H88" s="153">
        <f t="shared" si="23"/>
        <v>0.4312499999999998</v>
      </c>
      <c r="I88" s="154"/>
      <c r="J88" s="155" t="str">
        <f t="shared" si="17"/>
        <v/>
      </c>
      <c r="K88" s="189" t="str">
        <f t="shared" si="18"/>
        <v/>
      </c>
      <c r="L88" s="155" t="str">
        <f t="shared" si="13"/>
        <v/>
      </c>
      <c r="M88" s="155" t="str">
        <f t="shared" si="19"/>
        <v/>
      </c>
      <c r="N88" s="189" t="str">
        <f t="shared" si="20"/>
        <v/>
      </c>
      <c r="O88" s="155" t="str">
        <f t="shared" si="14"/>
        <v/>
      </c>
      <c r="P88" s="145" t="str">
        <f t="shared" si="21"/>
        <v/>
      </c>
      <c r="Q88" s="230" t="str">
        <f t="shared" si="22"/>
        <v/>
      </c>
      <c r="R88" s="233"/>
    </row>
    <row r="89" spans="1:18" ht="14.1" customHeight="1">
      <c r="A89" t="e">
        <f t="shared" si="15"/>
        <v>#VALUE!</v>
      </c>
      <c r="B89" t="e">
        <f t="shared" si="16"/>
        <v>#VALUE!</v>
      </c>
      <c r="C89" s="152">
        <f>'Sign-On'!A92</f>
        <v>82</v>
      </c>
      <c r="D89" s="142" t="str">
        <f>'Sign-On'!B92</f>
        <v/>
      </c>
      <c r="E89" s="142" t="str">
        <f>'Sign-On'!D92</f>
        <v/>
      </c>
      <c r="F89" s="142" t="str">
        <f>'Sign-On'!H92</f>
        <v/>
      </c>
      <c r="G89" s="143" t="str">
        <f>'Sign-On'!F92</f>
        <v/>
      </c>
      <c r="H89" s="153">
        <f t="shared" si="23"/>
        <v>0.43194444444444424</v>
      </c>
      <c r="I89" s="154"/>
      <c r="J89" s="155" t="str">
        <f t="shared" si="17"/>
        <v/>
      </c>
      <c r="K89" s="189" t="str">
        <f t="shared" si="18"/>
        <v/>
      </c>
      <c r="L89" s="155" t="str">
        <f t="shared" si="13"/>
        <v/>
      </c>
      <c r="M89" s="155" t="str">
        <f t="shared" si="19"/>
        <v/>
      </c>
      <c r="N89" s="189" t="str">
        <f t="shared" si="20"/>
        <v/>
      </c>
      <c r="O89" s="155" t="str">
        <f t="shared" si="14"/>
        <v/>
      </c>
      <c r="P89" s="145" t="str">
        <f t="shared" si="21"/>
        <v/>
      </c>
      <c r="Q89" s="230" t="str">
        <f t="shared" si="22"/>
        <v/>
      </c>
      <c r="R89" s="233"/>
    </row>
    <row r="90" spans="1:18" ht="14.1" customHeight="1">
      <c r="A90" t="e">
        <f t="shared" si="15"/>
        <v>#VALUE!</v>
      </c>
      <c r="B90" t="e">
        <f t="shared" si="16"/>
        <v>#VALUE!</v>
      </c>
      <c r="C90" s="152">
        <f>'Sign-On'!A93</f>
        <v>83</v>
      </c>
      <c r="D90" s="142" t="str">
        <f>'Sign-On'!B93</f>
        <v/>
      </c>
      <c r="E90" s="142" t="str">
        <f>'Sign-On'!D93</f>
        <v/>
      </c>
      <c r="F90" s="142" t="str">
        <f>'Sign-On'!H93</f>
        <v/>
      </c>
      <c r="G90" s="143" t="str">
        <f>'Sign-On'!F93</f>
        <v/>
      </c>
      <c r="H90" s="153">
        <f t="shared" si="23"/>
        <v>0.43263888888888868</v>
      </c>
      <c r="I90" s="154"/>
      <c r="J90" s="155" t="str">
        <f t="shared" si="17"/>
        <v/>
      </c>
      <c r="K90" s="189" t="str">
        <f t="shared" si="18"/>
        <v/>
      </c>
      <c r="L90" s="155" t="str">
        <f t="shared" si="13"/>
        <v/>
      </c>
      <c r="M90" s="155" t="str">
        <f t="shared" si="19"/>
        <v/>
      </c>
      <c r="N90" s="189" t="str">
        <f t="shared" si="20"/>
        <v/>
      </c>
      <c r="O90" s="155" t="str">
        <f t="shared" si="14"/>
        <v/>
      </c>
      <c r="P90" s="145" t="str">
        <f t="shared" si="21"/>
        <v/>
      </c>
      <c r="Q90" s="230" t="str">
        <f t="shared" si="22"/>
        <v/>
      </c>
      <c r="R90" s="233"/>
    </row>
    <row r="91" spans="1:18" ht="14.1" customHeight="1">
      <c r="A91" t="e">
        <f t="shared" si="15"/>
        <v>#VALUE!</v>
      </c>
      <c r="B91" t="e">
        <f t="shared" si="16"/>
        <v>#VALUE!</v>
      </c>
      <c r="C91" s="152">
        <f>'Sign-On'!A94</f>
        <v>84</v>
      </c>
      <c r="D91" s="142" t="str">
        <f>'Sign-On'!B94</f>
        <v/>
      </c>
      <c r="E91" s="142" t="str">
        <f>'Sign-On'!D94</f>
        <v/>
      </c>
      <c r="F91" s="142" t="str">
        <f>'Sign-On'!H94</f>
        <v/>
      </c>
      <c r="G91" s="143" t="str">
        <f>'Sign-On'!F94</f>
        <v/>
      </c>
      <c r="H91" s="153">
        <f t="shared" si="23"/>
        <v>0.43333333333333313</v>
      </c>
      <c r="I91" s="154"/>
      <c r="J91" s="155" t="str">
        <f t="shared" si="17"/>
        <v/>
      </c>
      <c r="K91" s="189" t="str">
        <f t="shared" si="18"/>
        <v/>
      </c>
      <c r="L91" s="155" t="str">
        <f t="shared" si="13"/>
        <v/>
      </c>
      <c r="M91" s="155" t="str">
        <f t="shared" si="19"/>
        <v/>
      </c>
      <c r="N91" s="189" t="str">
        <f t="shared" si="20"/>
        <v/>
      </c>
      <c r="O91" s="155" t="str">
        <f t="shared" si="14"/>
        <v/>
      </c>
      <c r="P91" s="145" t="str">
        <f t="shared" si="21"/>
        <v/>
      </c>
      <c r="Q91" s="230" t="str">
        <f t="shared" si="22"/>
        <v/>
      </c>
      <c r="R91" s="233"/>
    </row>
    <row r="92" spans="1:18" ht="14.1" customHeight="1">
      <c r="A92" t="e">
        <f t="shared" si="15"/>
        <v>#VALUE!</v>
      </c>
      <c r="B92" t="e">
        <f t="shared" si="16"/>
        <v>#VALUE!</v>
      </c>
      <c r="C92" s="152">
        <f>'Sign-On'!A95</f>
        <v>85</v>
      </c>
      <c r="D92" s="142" t="str">
        <f>'Sign-On'!B95</f>
        <v/>
      </c>
      <c r="E92" s="142" t="str">
        <f>'Sign-On'!D95</f>
        <v/>
      </c>
      <c r="F92" s="142" t="str">
        <f>'Sign-On'!H95</f>
        <v/>
      </c>
      <c r="G92" s="143" t="str">
        <f>'Sign-On'!F95</f>
        <v/>
      </c>
      <c r="H92" s="153">
        <f t="shared" si="23"/>
        <v>0.43402777777777757</v>
      </c>
      <c r="I92" s="154"/>
      <c r="J92" s="155" t="str">
        <f t="shared" si="17"/>
        <v/>
      </c>
      <c r="K92" s="189" t="str">
        <f t="shared" si="18"/>
        <v/>
      </c>
      <c r="L92" s="155" t="str">
        <f t="shared" si="13"/>
        <v/>
      </c>
      <c r="M92" s="155" t="str">
        <f t="shared" si="19"/>
        <v/>
      </c>
      <c r="N92" s="189" t="str">
        <f t="shared" si="20"/>
        <v/>
      </c>
      <c r="O92" s="155" t="str">
        <f t="shared" si="14"/>
        <v/>
      </c>
      <c r="P92" s="145" t="str">
        <f t="shared" si="21"/>
        <v/>
      </c>
      <c r="Q92" s="230" t="str">
        <f t="shared" si="22"/>
        <v/>
      </c>
      <c r="R92" s="233"/>
    </row>
    <row r="93" spans="1:18" ht="14.1" customHeight="1">
      <c r="A93" t="e">
        <f t="shared" si="15"/>
        <v>#VALUE!</v>
      </c>
      <c r="B93" t="e">
        <f t="shared" si="16"/>
        <v>#VALUE!</v>
      </c>
      <c r="C93" s="152">
        <f>'Sign-On'!A96</f>
        <v>86</v>
      </c>
      <c r="D93" s="142" t="str">
        <f>'Sign-On'!B96</f>
        <v/>
      </c>
      <c r="E93" s="142" t="str">
        <f>'Sign-On'!D96</f>
        <v/>
      </c>
      <c r="F93" s="142" t="str">
        <f>'Sign-On'!H96</f>
        <v/>
      </c>
      <c r="G93" s="143" t="str">
        <f>'Sign-On'!F96</f>
        <v/>
      </c>
      <c r="H93" s="153">
        <f t="shared" si="23"/>
        <v>0.43472222222222201</v>
      </c>
      <c r="I93" s="154"/>
      <c r="J93" s="155" t="str">
        <f t="shared" si="17"/>
        <v/>
      </c>
      <c r="K93" s="189" t="str">
        <f t="shared" si="18"/>
        <v/>
      </c>
      <c r="L93" s="155" t="str">
        <f t="shared" si="13"/>
        <v/>
      </c>
      <c r="M93" s="155" t="str">
        <f t="shared" si="19"/>
        <v/>
      </c>
      <c r="N93" s="189" t="str">
        <f t="shared" si="20"/>
        <v/>
      </c>
      <c r="O93" s="155" t="str">
        <f t="shared" si="14"/>
        <v/>
      </c>
      <c r="P93" s="145" t="str">
        <f t="shared" si="21"/>
        <v/>
      </c>
      <c r="Q93" s="230" t="str">
        <f t="shared" si="22"/>
        <v/>
      </c>
      <c r="R93" s="233"/>
    </row>
    <row r="94" spans="1:18" ht="14.1" customHeight="1">
      <c r="A94" t="e">
        <f t="shared" si="15"/>
        <v>#VALUE!</v>
      </c>
      <c r="B94" t="e">
        <f t="shared" si="16"/>
        <v>#VALUE!</v>
      </c>
      <c r="C94" s="152">
        <f>'Sign-On'!A97</f>
        <v>87</v>
      </c>
      <c r="D94" s="142" t="str">
        <f>'Sign-On'!B97</f>
        <v/>
      </c>
      <c r="E94" s="142" t="str">
        <f>'Sign-On'!D97</f>
        <v/>
      </c>
      <c r="F94" s="142" t="str">
        <f>'Sign-On'!H97</f>
        <v/>
      </c>
      <c r="G94" s="143" t="str">
        <f>'Sign-On'!F97</f>
        <v/>
      </c>
      <c r="H94" s="153">
        <f t="shared" si="23"/>
        <v>0.43541666666666645</v>
      </c>
      <c r="I94" s="154"/>
      <c r="J94" s="155" t="str">
        <f t="shared" si="17"/>
        <v/>
      </c>
      <c r="K94" s="189" t="str">
        <f t="shared" si="18"/>
        <v/>
      </c>
      <c r="L94" s="155" t="str">
        <f t="shared" si="13"/>
        <v/>
      </c>
      <c r="M94" s="155" t="str">
        <f t="shared" si="19"/>
        <v/>
      </c>
      <c r="N94" s="189" t="str">
        <f t="shared" si="20"/>
        <v/>
      </c>
      <c r="O94" s="155" t="str">
        <f t="shared" si="14"/>
        <v/>
      </c>
      <c r="P94" s="145" t="str">
        <f t="shared" si="21"/>
        <v/>
      </c>
      <c r="Q94" s="230" t="str">
        <f t="shared" si="22"/>
        <v/>
      </c>
      <c r="R94" s="233"/>
    </row>
    <row r="95" spans="1:18" ht="14.1" customHeight="1">
      <c r="A95" t="e">
        <f t="shared" si="15"/>
        <v>#VALUE!</v>
      </c>
      <c r="B95" t="e">
        <f t="shared" si="16"/>
        <v>#VALUE!</v>
      </c>
      <c r="C95" s="152">
        <f>'Sign-On'!A98</f>
        <v>88</v>
      </c>
      <c r="D95" s="142" t="str">
        <f>'Sign-On'!B98</f>
        <v/>
      </c>
      <c r="E95" s="142" t="str">
        <f>'Sign-On'!D98</f>
        <v/>
      </c>
      <c r="F95" s="142" t="str">
        <f>'Sign-On'!H98</f>
        <v/>
      </c>
      <c r="G95" s="143" t="str">
        <f>'Sign-On'!F98</f>
        <v/>
      </c>
      <c r="H95" s="153">
        <f t="shared" si="23"/>
        <v>0.43611111111111089</v>
      </c>
      <c r="I95" s="154"/>
      <c r="J95" s="155" t="str">
        <f t="shared" si="17"/>
        <v/>
      </c>
      <c r="K95" s="189" t="str">
        <f t="shared" si="18"/>
        <v/>
      </c>
      <c r="L95" s="155" t="str">
        <f t="shared" si="13"/>
        <v/>
      </c>
      <c r="M95" s="155" t="str">
        <f t="shared" si="19"/>
        <v/>
      </c>
      <c r="N95" s="189" t="str">
        <f t="shared" si="20"/>
        <v/>
      </c>
      <c r="O95" s="155" t="str">
        <f t="shared" si="14"/>
        <v/>
      </c>
      <c r="P95" s="145" t="str">
        <f t="shared" si="21"/>
        <v/>
      </c>
      <c r="Q95" s="230" t="str">
        <f t="shared" si="22"/>
        <v/>
      </c>
      <c r="R95" s="233"/>
    </row>
    <row r="96" spans="1:18" ht="14.1" customHeight="1">
      <c r="A96" t="e">
        <f t="shared" si="15"/>
        <v>#VALUE!</v>
      </c>
      <c r="B96" t="e">
        <f t="shared" si="16"/>
        <v>#VALUE!</v>
      </c>
      <c r="C96" s="152">
        <f>'Sign-On'!A99</f>
        <v>89</v>
      </c>
      <c r="D96" s="142" t="str">
        <f>'Sign-On'!B99</f>
        <v/>
      </c>
      <c r="E96" s="142" t="str">
        <f>'Sign-On'!D99</f>
        <v/>
      </c>
      <c r="F96" s="142" t="str">
        <f>'Sign-On'!H99</f>
        <v/>
      </c>
      <c r="G96" s="143" t="str">
        <f>'Sign-On'!F99</f>
        <v/>
      </c>
      <c r="H96" s="153">
        <f t="shared" si="23"/>
        <v>0.43680555555555534</v>
      </c>
      <c r="I96" s="154"/>
      <c r="J96" s="155" t="str">
        <f t="shared" si="17"/>
        <v/>
      </c>
      <c r="K96" s="189" t="str">
        <f t="shared" si="18"/>
        <v/>
      </c>
      <c r="L96" s="155" t="str">
        <f t="shared" si="13"/>
        <v/>
      </c>
      <c r="M96" s="155" t="str">
        <f t="shared" si="19"/>
        <v/>
      </c>
      <c r="N96" s="189" t="str">
        <f t="shared" si="20"/>
        <v/>
      </c>
      <c r="O96" s="155" t="str">
        <f t="shared" si="14"/>
        <v/>
      </c>
      <c r="P96" s="145" t="str">
        <f t="shared" si="21"/>
        <v/>
      </c>
      <c r="Q96" s="230" t="str">
        <f t="shared" si="22"/>
        <v/>
      </c>
      <c r="R96" s="233"/>
    </row>
    <row r="97" spans="1:18" ht="14.1" customHeight="1">
      <c r="A97" t="e">
        <f t="shared" si="15"/>
        <v>#VALUE!</v>
      </c>
      <c r="B97" t="e">
        <f t="shared" si="16"/>
        <v>#VALUE!</v>
      </c>
      <c r="C97" s="152">
        <f>'Sign-On'!A100</f>
        <v>90</v>
      </c>
      <c r="D97" s="142" t="str">
        <f>'Sign-On'!B100</f>
        <v/>
      </c>
      <c r="E97" s="142" t="str">
        <f>'Sign-On'!D100</f>
        <v/>
      </c>
      <c r="F97" s="142" t="str">
        <f>'Sign-On'!H100</f>
        <v/>
      </c>
      <c r="G97" s="143" t="str">
        <f>'Sign-On'!F100</f>
        <v/>
      </c>
      <c r="H97" s="153">
        <f t="shared" si="23"/>
        <v>0.43749999999999978</v>
      </c>
      <c r="I97" s="154"/>
      <c r="J97" s="155" t="str">
        <f t="shared" si="17"/>
        <v/>
      </c>
      <c r="K97" s="189" t="str">
        <f t="shared" si="18"/>
        <v/>
      </c>
      <c r="L97" s="155" t="str">
        <f t="shared" si="13"/>
        <v/>
      </c>
      <c r="M97" s="155" t="str">
        <f t="shared" si="19"/>
        <v/>
      </c>
      <c r="N97" s="189" t="str">
        <f t="shared" si="20"/>
        <v/>
      </c>
      <c r="O97" s="155" t="str">
        <f t="shared" si="14"/>
        <v/>
      </c>
      <c r="P97" s="145" t="str">
        <f t="shared" si="21"/>
        <v/>
      </c>
      <c r="Q97" s="230" t="str">
        <f t="shared" si="22"/>
        <v/>
      </c>
      <c r="R97" s="233"/>
    </row>
    <row r="98" spans="1:18" ht="14.1" customHeight="1">
      <c r="A98" t="e">
        <f t="shared" si="15"/>
        <v>#VALUE!</v>
      </c>
      <c r="B98" t="e">
        <f t="shared" si="16"/>
        <v>#VALUE!</v>
      </c>
      <c r="C98" s="152">
        <f>'Sign-On'!A101</f>
        <v>91</v>
      </c>
      <c r="D98" s="142" t="str">
        <f>'Sign-On'!B101</f>
        <v/>
      </c>
      <c r="E98" s="142" t="str">
        <f>'Sign-On'!D101</f>
        <v/>
      </c>
      <c r="F98" s="142" t="str">
        <f>'Sign-On'!H101</f>
        <v/>
      </c>
      <c r="G98" s="143" t="str">
        <f>'Sign-On'!F101</f>
        <v/>
      </c>
      <c r="H98" s="153">
        <f t="shared" si="23"/>
        <v>0.43819444444444422</v>
      </c>
      <c r="I98" s="154"/>
      <c r="J98" s="155" t="str">
        <f t="shared" si="17"/>
        <v/>
      </c>
      <c r="K98" s="189" t="str">
        <f t="shared" si="18"/>
        <v/>
      </c>
      <c r="L98" s="155" t="str">
        <f t="shared" si="13"/>
        <v/>
      </c>
      <c r="M98" s="155" t="str">
        <f t="shared" si="19"/>
        <v/>
      </c>
      <c r="N98" s="189" t="str">
        <f t="shared" si="20"/>
        <v/>
      </c>
      <c r="O98" s="155" t="str">
        <f t="shared" si="14"/>
        <v/>
      </c>
      <c r="P98" s="145" t="str">
        <f t="shared" si="21"/>
        <v/>
      </c>
      <c r="Q98" s="230" t="str">
        <f t="shared" si="22"/>
        <v/>
      </c>
      <c r="R98" s="233"/>
    </row>
    <row r="99" spans="1:18" ht="14.1" customHeight="1">
      <c r="A99" t="e">
        <f t="shared" si="15"/>
        <v>#VALUE!</v>
      </c>
      <c r="B99" t="e">
        <f t="shared" si="16"/>
        <v>#VALUE!</v>
      </c>
      <c r="C99" s="152">
        <f>'Sign-On'!A102</f>
        <v>92</v>
      </c>
      <c r="D99" s="142" t="str">
        <f>'Sign-On'!B102</f>
        <v/>
      </c>
      <c r="E99" s="142" t="str">
        <f>'Sign-On'!D102</f>
        <v/>
      </c>
      <c r="F99" s="142" t="str">
        <f>'Sign-On'!H102</f>
        <v/>
      </c>
      <c r="G99" s="143" t="str">
        <f>'Sign-On'!F102</f>
        <v/>
      </c>
      <c r="H99" s="153">
        <f t="shared" si="23"/>
        <v>0.43888888888888866</v>
      </c>
      <c r="I99" s="154"/>
      <c r="J99" s="155" t="str">
        <f t="shared" si="17"/>
        <v/>
      </c>
      <c r="K99" s="189" t="str">
        <f t="shared" si="18"/>
        <v/>
      </c>
      <c r="L99" s="155" t="str">
        <f t="shared" si="13"/>
        <v/>
      </c>
      <c r="M99" s="155" t="str">
        <f t="shared" si="19"/>
        <v/>
      </c>
      <c r="N99" s="189" t="str">
        <f t="shared" si="20"/>
        <v/>
      </c>
      <c r="O99" s="155" t="str">
        <f t="shared" si="14"/>
        <v/>
      </c>
      <c r="P99" s="145" t="str">
        <f t="shared" si="21"/>
        <v/>
      </c>
      <c r="Q99" s="230" t="str">
        <f t="shared" si="22"/>
        <v/>
      </c>
      <c r="R99" s="233"/>
    </row>
    <row r="100" spans="1:18" ht="14.1" customHeight="1">
      <c r="A100" t="e">
        <f t="shared" si="15"/>
        <v>#VALUE!</v>
      </c>
      <c r="B100" t="e">
        <f t="shared" si="16"/>
        <v>#VALUE!</v>
      </c>
      <c r="C100" s="152">
        <f>'Sign-On'!A103</f>
        <v>93</v>
      </c>
      <c r="D100" s="142" t="str">
        <f>'Sign-On'!B103</f>
        <v/>
      </c>
      <c r="E100" s="142" t="str">
        <f>'Sign-On'!D103</f>
        <v/>
      </c>
      <c r="F100" s="142" t="str">
        <f>'Sign-On'!H103</f>
        <v/>
      </c>
      <c r="G100" s="143" t="str">
        <f>'Sign-On'!F103</f>
        <v/>
      </c>
      <c r="H100" s="153">
        <f t="shared" si="23"/>
        <v>0.4395833333333331</v>
      </c>
      <c r="I100" s="154"/>
      <c r="J100" s="155" t="str">
        <f t="shared" si="17"/>
        <v/>
      </c>
      <c r="K100" s="189" t="str">
        <f t="shared" si="18"/>
        <v/>
      </c>
      <c r="L100" s="155" t="str">
        <f t="shared" si="13"/>
        <v/>
      </c>
      <c r="M100" s="155" t="str">
        <f t="shared" si="19"/>
        <v/>
      </c>
      <c r="N100" s="189" t="str">
        <f t="shared" si="20"/>
        <v/>
      </c>
      <c r="O100" s="155" t="str">
        <f t="shared" si="14"/>
        <v/>
      </c>
      <c r="P100" s="145" t="str">
        <f t="shared" si="21"/>
        <v/>
      </c>
      <c r="Q100" s="230" t="str">
        <f t="shared" si="22"/>
        <v/>
      </c>
      <c r="R100" s="233"/>
    </row>
    <row r="101" spans="1:18" ht="14.1" customHeight="1">
      <c r="A101" t="e">
        <f t="shared" si="15"/>
        <v>#VALUE!</v>
      </c>
      <c r="B101" t="e">
        <f t="shared" si="16"/>
        <v>#VALUE!</v>
      </c>
      <c r="C101" s="152">
        <f>'Sign-On'!A104</f>
        <v>94</v>
      </c>
      <c r="D101" s="142" t="str">
        <f>'Sign-On'!B104</f>
        <v/>
      </c>
      <c r="E101" s="142" t="str">
        <f>'Sign-On'!D104</f>
        <v/>
      </c>
      <c r="F101" s="142" t="str">
        <f>'Sign-On'!H104</f>
        <v/>
      </c>
      <c r="G101" s="143" t="str">
        <f>'Sign-On'!F104</f>
        <v/>
      </c>
      <c r="H101" s="153">
        <f t="shared" si="23"/>
        <v>0.44027777777777755</v>
      </c>
      <c r="I101" s="154"/>
      <c r="J101" s="155" t="str">
        <f t="shared" si="17"/>
        <v/>
      </c>
      <c r="K101" s="189" t="str">
        <f t="shared" si="18"/>
        <v/>
      </c>
      <c r="L101" s="155" t="str">
        <f t="shared" si="13"/>
        <v/>
      </c>
      <c r="M101" s="155" t="str">
        <f t="shared" si="19"/>
        <v/>
      </c>
      <c r="N101" s="189" t="str">
        <f t="shared" si="20"/>
        <v/>
      </c>
      <c r="O101" s="155" t="str">
        <f t="shared" si="14"/>
        <v/>
      </c>
      <c r="P101" s="145" t="str">
        <f t="shared" si="21"/>
        <v/>
      </c>
      <c r="Q101" s="230" t="str">
        <f t="shared" si="22"/>
        <v/>
      </c>
      <c r="R101" s="233"/>
    </row>
    <row r="102" spans="1:18" ht="14.1" customHeight="1">
      <c r="A102" t="e">
        <f t="shared" si="15"/>
        <v>#VALUE!</v>
      </c>
      <c r="B102" t="e">
        <f t="shared" si="16"/>
        <v>#VALUE!</v>
      </c>
      <c r="C102" s="152">
        <f>'Sign-On'!A105</f>
        <v>95</v>
      </c>
      <c r="D102" s="142" t="str">
        <f>'Sign-On'!B105</f>
        <v/>
      </c>
      <c r="E102" s="142" t="str">
        <f>'Sign-On'!D105</f>
        <v/>
      </c>
      <c r="F102" s="142" t="str">
        <f>'Sign-On'!H105</f>
        <v/>
      </c>
      <c r="G102" s="143" t="str">
        <f>'Sign-On'!F105</f>
        <v/>
      </c>
      <c r="H102" s="153">
        <f t="shared" si="23"/>
        <v>0.44097222222222199</v>
      </c>
      <c r="I102" s="154"/>
      <c r="J102" s="155" t="str">
        <f t="shared" si="17"/>
        <v/>
      </c>
      <c r="K102" s="189" t="str">
        <f t="shared" si="18"/>
        <v/>
      </c>
      <c r="L102" s="155" t="str">
        <f t="shared" si="13"/>
        <v/>
      </c>
      <c r="M102" s="155" t="str">
        <f t="shared" si="19"/>
        <v/>
      </c>
      <c r="N102" s="189" t="str">
        <f t="shared" si="20"/>
        <v/>
      </c>
      <c r="O102" s="155" t="str">
        <f t="shared" si="14"/>
        <v/>
      </c>
      <c r="P102" s="145" t="str">
        <f t="shared" si="21"/>
        <v/>
      </c>
      <c r="Q102" s="230" t="str">
        <f t="shared" si="22"/>
        <v/>
      </c>
      <c r="R102" s="233"/>
    </row>
    <row r="103" spans="1:18" ht="14.1" customHeight="1">
      <c r="A103" t="e">
        <f t="shared" si="15"/>
        <v>#VALUE!</v>
      </c>
      <c r="B103" t="e">
        <f t="shared" si="16"/>
        <v>#VALUE!</v>
      </c>
      <c r="C103" s="152">
        <f>'Sign-On'!A106</f>
        <v>96</v>
      </c>
      <c r="D103" s="142" t="str">
        <f>'Sign-On'!B106</f>
        <v/>
      </c>
      <c r="E103" s="142" t="str">
        <f>'Sign-On'!D106</f>
        <v/>
      </c>
      <c r="F103" s="142" t="str">
        <f>'Sign-On'!H106</f>
        <v/>
      </c>
      <c r="G103" s="143" t="str">
        <f>'Sign-On'!F106</f>
        <v/>
      </c>
      <c r="H103" s="153">
        <f t="shared" si="23"/>
        <v>0.44166666666666643</v>
      </c>
      <c r="I103" s="154"/>
      <c r="J103" s="155" t="str">
        <f t="shared" si="17"/>
        <v/>
      </c>
      <c r="K103" s="189" t="str">
        <f t="shared" si="18"/>
        <v/>
      </c>
      <c r="L103" s="155" t="str">
        <f t="shared" si="13"/>
        <v/>
      </c>
      <c r="M103" s="155" t="str">
        <f t="shared" si="19"/>
        <v/>
      </c>
      <c r="N103" s="189" t="str">
        <f t="shared" si="20"/>
        <v/>
      </c>
      <c r="O103" s="155" t="str">
        <f t="shared" si="14"/>
        <v/>
      </c>
      <c r="P103" s="145" t="str">
        <f t="shared" si="21"/>
        <v/>
      </c>
      <c r="Q103" s="230" t="str">
        <f t="shared" si="22"/>
        <v/>
      </c>
      <c r="R103" s="233"/>
    </row>
    <row r="104" spans="1:18" ht="14.1" customHeight="1">
      <c r="A104" t="e">
        <f t="shared" si="15"/>
        <v>#VALUE!</v>
      </c>
      <c r="B104" t="e">
        <f t="shared" si="16"/>
        <v>#VALUE!</v>
      </c>
      <c r="C104" s="152">
        <f>'Sign-On'!A107</f>
        <v>97</v>
      </c>
      <c r="D104" s="142" t="str">
        <f>'Sign-On'!B107</f>
        <v/>
      </c>
      <c r="E104" s="142" t="str">
        <f>'Sign-On'!D107</f>
        <v/>
      </c>
      <c r="F104" s="142" t="str">
        <f>'Sign-On'!H107</f>
        <v/>
      </c>
      <c r="G104" s="143" t="str">
        <f>'Sign-On'!F107</f>
        <v/>
      </c>
      <c r="H104" s="153">
        <f t="shared" si="23"/>
        <v>0.44236111111111087</v>
      </c>
      <c r="I104" s="154"/>
      <c r="J104" s="155" t="str">
        <f t="shared" si="17"/>
        <v/>
      </c>
      <c r="K104" s="189" t="str">
        <f t="shared" si="18"/>
        <v/>
      </c>
      <c r="L104" s="155" t="str">
        <f t="shared" ref="L104:L135" si="24">IF(ISERROR(VLOOKUP(C104,Entrants,16,FALSE)),"",VLOOKUP(C104,Entrants,16,FALSE))</f>
        <v/>
      </c>
      <c r="M104" s="155" t="str">
        <f t="shared" si="19"/>
        <v/>
      </c>
      <c r="N104" s="189" t="str">
        <f t="shared" si="20"/>
        <v/>
      </c>
      <c r="O104" s="155" t="str">
        <f t="shared" ref="O104:O135" si="25">IF(ISERROR(VLOOKUP(C104,Entrants,20,FALSE)),"",VLOOKUP(C104,Entrants,20,FALSE))</f>
        <v/>
      </c>
      <c r="P104" s="145" t="str">
        <f t="shared" si="21"/>
        <v/>
      </c>
      <c r="Q104" s="230" t="str">
        <f t="shared" si="22"/>
        <v/>
      </c>
      <c r="R104" s="233"/>
    </row>
    <row r="105" spans="1:18" ht="14.1" customHeight="1">
      <c r="A105" t="e">
        <f t="shared" si="15"/>
        <v>#VALUE!</v>
      </c>
      <c r="B105" t="e">
        <f t="shared" si="16"/>
        <v>#VALUE!</v>
      </c>
      <c r="C105" s="152">
        <f>'Sign-On'!A108</f>
        <v>98</v>
      </c>
      <c r="D105" s="142" t="str">
        <f>'Sign-On'!B108</f>
        <v/>
      </c>
      <c r="E105" s="142" t="str">
        <f>'Sign-On'!D108</f>
        <v/>
      </c>
      <c r="F105" s="142" t="str">
        <f>'Sign-On'!H108</f>
        <v/>
      </c>
      <c r="G105" s="143" t="str">
        <f>'Sign-On'!F108</f>
        <v/>
      </c>
      <c r="H105" s="153">
        <f t="shared" si="23"/>
        <v>0.44305555555555531</v>
      </c>
      <c r="I105" s="154"/>
      <c r="J105" s="155" t="str">
        <f t="shared" si="17"/>
        <v/>
      </c>
      <c r="K105" s="189" t="str">
        <f t="shared" si="18"/>
        <v/>
      </c>
      <c r="L105" s="155" t="str">
        <f t="shared" si="24"/>
        <v/>
      </c>
      <c r="M105" s="155" t="str">
        <f t="shared" si="19"/>
        <v/>
      </c>
      <c r="N105" s="189" t="str">
        <f t="shared" si="20"/>
        <v/>
      </c>
      <c r="O105" s="155" t="str">
        <f t="shared" si="25"/>
        <v/>
      </c>
      <c r="P105" s="145" t="str">
        <f t="shared" si="21"/>
        <v/>
      </c>
      <c r="Q105" s="230" t="str">
        <f t="shared" si="22"/>
        <v/>
      </c>
      <c r="R105" s="233"/>
    </row>
    <row r="106" spans="1:18" ht="14.1" customHeight="1">
      <c r="A106" t="e">
        <f t="shared" si="15"/>
        <v>#VALUE!</v>
      </c>
      <c r="B106" t="e">
        <f t="shared" si="16"/>
        <v>#VALUE!</v>
      </c>
      <c r="C106" s="152">
        <f>'Sign-On'!A109</f>
        <v>99</v>
      </c>
      <c r="D106" s="142" t="str">
        <f>'Sign-On'!B109</f>
        <v/>
      </c>
      <c r="E106" s="142" t="str">
        <f>'Sign-On'!D109</f>
        <v/>
      </c>
      <c r="F106" s="142" t="str">
        <f>'Sign-On'!H109</f>
        <v/>
      </c>
      <c r="G106" s="143" t="str">
        <f>'Sign-On'!F109</f>
        <v/>
      </c>
      <c r="H106" s="153">
        <f t="shared" si="23"/>
        <v>0.44374999999999976</v>
      </c>
      <c r="I106" s="154"/>
      <c r="J106" s="155" t="str">
        <f t="shared" si="17"/>
        <v/>
      </c>
      <c r="K106" s="189" t="str">
        <f t="shared" si="18"/>
        <v/>
      </c>
      <c r="L106" s="155" t="str">
        <f t="shared" si="24"/>
        <v/>
      </c>
      <c r="M106" s="155" t="str">
        <f t="shared" si="19"/>
        <v/>
      </c>
      <c r="N106" s="189" t="str">
        <f t="shared" si="20"/>
        <v/>
      </c>
      <c r="O106" s="155" t="str">
        <f t="shared" si="25"/>
        <v/>
      </c>
      <c r="P106" s="145" t="str">
        <f t="shared" si="21"/>
        <v/>
      </c>
      <c r="Q106" s="230" t="str">
        <f t="shared" si="22"/>
        <v/>
      </c>
      <c r="R106" s="233"/>
    </row>
    <row r="107" spans="1:18" ht="14.1" customHeight="1">
      <c r="A107" t="e">
        <f t="shared" si="15"/>
        <v>#VALUE!</v>
      </c>
      <c r="B107" t="e">
        <f t="shared" si="16"/>
        <v>#VALUE!</v>
      </c>
      <c r="C107" s="152">
        <f>'Sign-On'!A110</f>
        <v>100</v>
      </c>
      <c r="D107" s="142" t="str">
        <f>'Sign-On'!B110</f>
        <v/>
      </c>
      <c r="E107" s="142" t="str">
        <f>'Sign-On'!D110</f>
        <v/>
      </c>
      <c r="F107" s="142" t="str">
        <f>'Sign-On'!H110</f>
        <v/>
      </c>
      <c r="G107" s="143" t="str">
        <f>'Sign-On'!F110</f>
        <v/>
      </c>
      <c r="H107" s="153">
        <f t="shared" si="23"/>
        <v>0.4444444444444442</v>
      </c>
      <c r="I107" s="154"/>
      <c r="J107" s="155" t="str">
        <f t="shared" si="17"/>
        <v/>
      </c>
      <c r="K107" s="189" t="str">
        <f t="shared" si="18"/>
        <v/>
      </c>
      <c r="L107" s="155" t="str">
        <f t="shared" si="24"/>
        <v/>
      </c>
      <c r="M107" s="155" t="str">
        <f t="shared" si="19"/>
        <v/>
      </c>
      <c r="N107" s="189" t="str">
        <f t="shared" si="20"/>
        <v/>
      </c>
      <c r="O107" s="155" t="str">
        <f t="shared" si="25"/>
        <v/>
      </c>
      <c r="P107" s="145" t="str">
        <f t="shared" si="21"/>
        <v/>
      </c>
      <c r="Q107" s="230" t="str">
        <f t="shared" si="22"/>
        <v/>
      </c>
      <c r="R107" s="233"/>
    </row>
    <row r="108" spans="1:18" ht="14.1" customHeight="1">
      <c r="A108" t="e">
        <f t="shared" si="15"/>
        <v>#VALUE!</v>
      </c>
      <c r="B108" t="e">
        <f t="shared" si="16"/>
        <v>#VALUE!</v>
      </c>
      <c r="C108" s="152">
        <f>'Sign-On'!A111</f>
        <v>101</v>
      </c>
      <c r="D108" s="142" t="str">
        <f>'Sign-On'!B111</f>
        <v/>
      </c>
      <c r="E108" s="142" t="str">
        <f>'Sign-On'!D111</f>
        <v/>
      </c>
      <c r="F108" s="142" t="str">
        <f>'Sign-On'!H111</f>
        <v/>
      </c>
      <c r="G108" s="143" t="str">
        <f>'Sign-On'!F111</f>
        <v/>
      </c>
      <c r="H108" s="153">
        <f t="shared" si="23"/>
        <v>0.44513888888888864</v>
      </c>
      <c r="I108" s="154"/>
      <c r="J108" s="155" t="str">
        <f t="shared" si="17"/>
        <v/>
      </c>
      <c r="K108" s="189" t="str">
        <f t="shared" si="18"/>
        <v/>
      </c>
      <c r="L108" s="155" t="str">
        <f t="shared" si="24"/>
        <v/>
      </c>
      <c r="M108" s="155" t="str">
        <f t="shared" si="19"/>
        <v/>
      </c>
      <c r="N108" s="189" t="str">
        <f t="shared" si="20"/>
        <v/>
      </c>
      <c r="O108" s="155" t="str">
        <f t="shared" si="25"/>
        <v/>
      </c>
      <c r="P108" s="145" t="str">
        <f t="shared" si="21"/>
        <v/>
      </c>
      <c r="Q108" s="230" t="str">
        <f t="shared" si="22"/>
        <v/>
      </c>
      <c r="R108" s="233"/>
    </row>
    <row r="109" spans="1:18" ht="14.1" customHeight="1">
      <c r="A109" t="e">
        <f t="shared" si="15"/>
        <v>#VALUE!</v>
      </c>
      <c r="B109" t="e">
        <f t="shared" si="16"/>
        <v>#VALUE!</v>
      </c>
      <c r="C109" s="152">
        <f>'Sign-On'!A112</f>
        <v>102</v>
      </c>
      <c r="D109" s="142" t="str">
        <f>'Sign-On'!B112</f>
        <v/>
      </c>
      <c r="E109" s="142" t="str">
        <f>'Sign-On'!D112</f>
        <v/>
      </c>
      <c r="F109" s="142" t="str">
        <f>'Sign-On'!H112</f>
        <v/>
      </c>
      <c r="G109" s="143" t="str">
        <f>'Sign-On'!F112</f>
        <v/>
      </c>
      <c r="H109" s="153">
        <f t="shared" si="23"/>
        <v>0.44583333333333308</v>
      </c>
      <c r="I109" s="154"/>
      <c r="J109" s="155" t="str">
        <f t="shared" si="17"/>
        <v/>
      </c>
      <c r="K109" s="189" t="str">
        <f t="shared" si="18"/>
        <v/>
      </c>
      <c r="L109" s="155" t="str">
        <f t="shared" si="24"/>
        <v/>
      </c>
      <c r="M109" s="155" t="str">
        <f t="shared" si="19"/>
        <v/>
      </c>
      <c r="N109" s="189" t="str">
        <f t="shared" si="20"/>
        <v/>
      </c>
      <c r="O109" s="155" t="str">
        <f t="shared" si="25"/>
        <v/>
      </c>
      <c r="P109" s="145" t="str">
        <f t="shared" si="21"/>
        <v/>
      </c>
      <c r="Q109" s="230" t="str">
        <f t="shared" si="22"/>
        <v/>
      </c>
      <c r="R109" s="233"/>
    </row>
    <row r="110" spans="1:18" ht="14.1" customHeight="1">
      <c r="A110" t="e">
        <f t="shared" si="15"/>
        <v>#VALUE!</v>
      </c>
      <c r="B110" t="e">
        <f t="shared" si="16"/>
        <v>#VALUE!</v>
      </c>
      <c r="C110" s="152">
        <f>'Sign-On'!A113</f>
        <v>103</v>
      </c>
      <c r="D110" s="142" t="str">
        <f>'Sign-On'!B113</f>
        <v/>
      </c>
      <c r="E110" s="142" t="str">
        <f>'Sign-On'!D113</f>
        <v/>
      </c>
      <c r="F110" s="142" t="str">
        <f>'Sign-On'!H113</f>
        <v/>
      </c>
      <c r="G110" s="143" t="str">
        <f>'Sign-On'!F113</f>
        <v/>
      </c>
      <c r="H110" s="153">
        <f t="shared" si="23"/>
        <v>0.44652777777777752</v>
      </c>
      <c r="I110" s="154"/>
      <c r="J110" s="155" t="str">
        <f t="shared" si="17"/>
        <v/>
      </c>
      <c r="K110" s="189" t="str">
        <f t="shared" si="18"/>
        <v/>
      </c>
      <c r="L110" s="155" t="str">
        <f t="shared" si="24"/>
        <v/>
      </c>
      <c r="M110" s="155" t="str">
        <f t="shared" si="19"/>
        <v/>
      </c>
      <c r="N110" s="189" t="str">
        <f t="shared" si="20"/>
        <v/>
      </c>
      <c r="O110" s="155" t="str">
        <f t="shared" si="25"/>
        <v/>
      </c>
      <c r="P110" s="145" t="str">
        <f t="shared" si="21"/>
        <v/>
      </c>
      <c r="Q110" s="230" t="str">
        <f t="shared" si="22"/>
        <v/>
      </c>
      <c r="R110" s="233"/>
    </row>
    <row r="111" spans="1:18" ht="14.1" customHeight="1">
      <c r="A111" t="e">
        <f t="shared" si="15"/>
        <v>#VALUE!</v>
      </c>
      <c r="B111" t="e">
        <f t="shared" si="16"/>
        <v>#VALUE!</v>
      </c>
      <c r="C111" s="152">
        <f>'Sign-On'!A114</f>
        <v>104</v>
      </c>
      <c r="D111" s="142" t="str">
        <f>'Sign-On'!B114</f>
        <v/>
      </c>
      <c r="E111" s="142" t="str">
        <f>'Sign-On'!D114</f>
        <v/>
      </c>
      <c r="F111" s="142" t="str">
        <f>'Sign-On'!H114</f>
        <v/>
      </c>
      <c r="G111" s="143" t="str">
        <f>'Sign-On'!F114</f>
        <v/>
      </c>
      <c r="H111" s="153">
        <f t="shared" si="23"/>
        <v>0.44722222222222197</v>
      </c>
      <c r="I111" s="154"/>
      <c r="J111" s="155" t="str">
        <f t="shared" si="17"/>
        <v/>
      </c>
      <c r="K111" s="189" t="str">
        <f t="shared" si="18"/>
        <v/>
      </c>
      <c r="L111" s="155" t="str">
        <f t="shared" si="24"/>
        <v/>
      </c>
      <c r="M111" s="155" t="str">
        <f t="shared" si="19"/>
        <v/>
      </c>
      <c r="N111" s="189" t="str">
        <f t="shared" si="20"/>
        <v/>
      </c>
      <c r="O111" s="155" t="str">
        <f t="shared" si="25"/>
        <v/>
      </c>
      <c r="P111" s="145" t="str">
        <f t="shared" si="21"/>
        <v/>
      </c>
      <c r="Q111" s="230" t="str">
        <f t="shared" si="22"/>
        <v/>
      </c>
      <c r="R111" s="233"/>
    </row>
    <row r="112" spans="1:18" ht="14.1" customHeight="1">
      <c r="A112" t="e">
        <f t="shared" si="15"/>
        <v>#VALUE!</v>
      </c>
      <c r="B112" t="e">
        <f t="shared" si="16"/>
        <v>#VALUE!</v>
      </c>
      <c r="C112" s="152">
        <f>'Sign-On'!A115</f>
        <v>105</v>
      </c>
      <c r="D112" s="142" t="str">
        <f>'Sign-On'!B115</f>
        <v/>
      </c>
      <c r="E112" s="142" t="str">
        <f>'Sign-On'!D115</f>
        <v/>
      </c>
      <c r="F112" s="142" t="str">
        <f>'Sign-On'!H115</f>
        <v/>
      </c>
      <c r="G112" s="143" t="str">
        <f>'Sign-On'!F115</f>
        <v/>
      </c>
      <c r="H112" s="153">
        <f t="shared" si="23"/>
        <v>0.44791666666666641</v>
      </c>
      <c r="I112" s="154"/>
      <c r="J112" s="155" t="str">
        <f t="shared" si="17"/>
        <v/>
      </c>
      <c r="K112" s="189" t="str">
        <f t="shared" si="18"/>
        <v/>
      </c>
      <c r="L112" s="155" t="str">
        <f t="shared" si="24"/>
        <v/>
      </c>
      <c r="M112" s="155" t="str">
        <f t="shared" si="19"/>
        <v/>
      </c>
      <c r="N112" s="189" t="str">
        <f t="shared" si="20"/>
        <v/>
      </c>
      <c r="O112" s="155" t="str">
        <f t="shared" si="25"/>
        <v/>
      </c>
      <c r="P112" s="145" t="str">
        <f t="shared" si="21"/>
        <v/>
      </c>
      <c r="Q112" s="230" t="str">
        <f t="shared" si="22"/>
        <v/>
      </c>
      <c r="R112" s="233"/>
    </row>
    <row r="113" spans="1:18" ht="14.1" customHeight="1">
      <c r="A113" t="e">
        <f t="shared" si="15"/>
        <v>#VALUE!</v>
      </c>
      <c r="B113" t="e">
        <f t="shared" si="16"/>
        <v>#VALUE!</v>
      </c>
      <c r="C113" s="152">
        <f>'Sign-On'!A116</f>
        <v>106</v>
      </c>
      <c r="D113" s="142" t="str">
        <f>'Sign-On'!B116</f>
        <v/>
      </c>
      <c r="E113" s="142" t="str">
        <f>'Sign-On'!D116</f>
        <v/>
      </c>
      <c r="F113" s="142" t="str">
        <f>'Sign-On'!H116</f>
        <v/>
      </c>
      <c r="G113" s="143" t="str">
        <f>'Sign-On'!F116</f>
        <v/>
      </c>
      <c r="H113" s="153">
        <f t="shared" si="23"/>
        <v>0.44861111111111085</v>
      </c>
      <c r="I113" s="154"/>
      <c r="J113" s="155" t="str">
        <f t="shared" si="17"/>
        <v/>
      </c>
      <c r="K113" s="189" t="str">
        <f t="shared" si="18"/>
        <v/>
      </c>
      <c r="L113" s="155" t="str">
        <f t="shared" si="24"/>
        <v/>
      </c>
      <c r="M113" s="155" t="str">
        <f t="shared" si="19"/>
        <v/>
      </c>
      <c r="N113" s="189" t="str">
        <f t="shared" si="20"/>
        <v/>
      </c>
      <c r="O113" s="155" t="str">
        <f t="shared" si="25"/>
        <v/>
      </c>
      <c r="P113" s="145" t="str">
        <f t="shared" si="21"/>
        <v/>
      </c>
      <c r="Q113" s="230" t="str">
        <f t="shared" si="22"/>
        <v/>
      </c>
      <c r="R113" s="233"/>
    </row>
    <row r="114" spans="1:18" ht="14.1" customHeight="1">
      <c r="A114" t="e">
        <f t="shared" si="15"/>
        <v>#VALUE!</v>
      </c>
      <c r="B114" t="e">
        <f t="shared" si="16"/>
        <v>#VALUE!</v>
      </c>
      <c r="C114" s="152">
        <f>'Sign-On'!A117</f>
        <v>107</v>
      </c>
      <c r="D114" s="142" t="str">
        <f>'Sign-On'!B117</f>
        <v/>
      </c>
      <c r="E114" s="142" t="str">
        <f>'Sign-On'!D117</f>
        <v/>
      </c>
      <c r="F114" s="142" t="str">
        <f>'Sign-On'!H117</f>
        <v/>
      </c>
      <c r="G114" s="143" t="str">
        <f>'Sign-On'!F117</f>
        <v/>
      </c>
      <c r="H114" s="153">
        <f t="shared" si="23"/>
        <v>0.44930555555555529</v>
      </c>
      <c r="I114" s="154"/>
      <c r="J114" s="155" t="str">
        <f t="shared" si="17"/>
        <v/>
      </c>
      <c r="K114" s="189" t="str">
        <f t="shared" si="18"/>
        <v/>
      </c>
      <c r="L114" s="155" t="str">
        <f t="shared" si="24"/>
        <v/>
      </c>
      <c r="M114" s="155" t="str">
        <f t="shared" si="19"/>
        <v/>
      </c>
      <c r="N114" s="189" t="str">
        <f t="shared" si="20"/>
        <v/>
      </c>
      <c r="O114" s="155" t="str">
        <f t="shared" si="25"/>
        <v/>
      </c>
      <c r="P114" s="145" t="str">
        <f t="shared" si="21"/>
        <v/>
      </c>
      <c r="Q114" s="230" t="str">
        <f t="shared" si="22"/>
        <v/>
      </c>
      <c r="R114" s="233"/>
    </row>
    <row r="115" spans="1:18" ht="14.1" customHeight="1">
      <c r="A115" t="e">
        <f t="shared" si="15"/>
        <v>#VALUE!</v>
      </c>
      <c r="B115" t="e">
        <f t="shared" si="16"/>
        <v>#VALUE!</v>
      </c>
      <c r="C115" s="152">
        <f>'Sign-On'!A118</f>
        <v>108</v>
      </c>
      <c r="D115" s="142" t="str">
        <f>'Sign-On'!B118</f>
        <v/>
      </c>
      <c r="E115" s="142" t="str">
        <f>'Sign-On'!D118</f>
        <v/>
      </c>
      <c r="F115" s="142" t="str">
        <f>'Sign-On'!H118</f>
        <v/>
      </c>
      <c r="G115" s="143" t="str">
        <f>'Sign-On'!F118</f>
        <v/>
      </c>
      <c r="H115" s="153">
        <f t="shared" si="23"/>
        <v>0.44999999999999973</v>
      </c>
      <c r="I115" s="154"/>
      <c r="J115" s="155" t="str">
        <f t="shared" si="17"/>
        <v/>
      </c>
      <c r="K115" s="189" t="str">
        <f t="shared" si="18"/>
        <v/>
      </c>
      <c r="L115" s="155" t="str">
        <f t="shared" si="24"/>
        <v/>
      </c>
      <c r="M115" s="155" t="str">
        <f t="shared" si="19"/>
        <v/>
      </c>
      <c r="N115" s="189" t="str">
        <f t="shared" si="20"/>
        <v/>
      </c>
      <c r="O115" s="155" t="str">
        <f t="shared" si="25"/>
        <v/>
      </c>
      <c r="P115" s="145" t="str">
        <f t="shared" si="21"/>
        <v/>
      </c>
      <c r="Q115" s="230" t="str">
        <f t="shared" si="22"/>
        <v/>
      </c>
      <c r="R115" s="233"/>
    </row>
    <row r="116" spans="1:18" ht="14.1" customHeight="1">
      <c r="A116" t="e">
        <f t="shared" si="15"/>
        <v>#VALUE!</v>
      </c>
      <c r="B116" t="e">
        <f t="shared" si="16"/>
        <v>#VALUE!</v>
      </c>
      <c r="C116" s="152">
        <f>'Sign-On'!A119</f>
        <v>109</v>
      </c>
      <c r="D116" s="142" t="str">
        <f>'Sign-On'!B119</f>
        <v/>
      </c>
      <c r="E116" s="142" t="str">
        <f>'Sign-On'!D119</f>
        <v/>
      </c>
      <c r="F116" s="142" t="str">
        <f>'Sign-On'!H119</f>
        <v/>
      </c>
      <c r="G116" s="143" t="str">
        <f>'Sign-On'!F119</f>
        <v/>
      </c>
      <c r="H116" s="153">
        <f t="shared" si="23"/>
        <v>0.45069444444444418</v>
      </c>
      <c r="I116" s="154"/>
      <c r="J116" s="155" t="str">
        <f t="shared" si="17"/>
        <v/>
      </c>
      <c r="K116" s="189" t="str">
        <f t="shared" si="18"/>
        <v/>
      </c>
      <c r="L116" s="155" t="str">
        <f t="shared" si="24"/>
        <v/>
      </c>
      <c r="M116" s="155" t="str">
        <f t="shared" si="19"/>
        <v/>
      </c>
      <c r="N116" s="189" t="str">
        <f t="shared" si="20"/>
        <v/>
      </c>
      <c r="O116" s="155" t="str">
        <f t="shared" si="25"/>
        <v/>
      </c>
      <c r="P116" s="145" t="str">
        <f t="shared" si="21"/>
        <v/>
      </c>
      <c r="Q116" s="230" t="str">
        <f t="shared" si="22"/>
        <v/>
      </c>
      <c r="R116" s="233"/>
    </row>
    <row r="117" spans="1:18" ht="14.1" customHeight="1">
      <c r="A117" t="e">
        <f t="shared" si="15"/>
        <v>#VALUE!</v>
      </c>
      <c r="B117" t="e">
        <f t="shared" si="16"/>
        <v>#VALUE!</v>
      </c>
      <c r="C117" s="152">
        <f>'Sign-On'!A120</f>
        <v>110</v>
      </c>
      <c r="D117" s="142" t="str">
        <f>'Sign-On'!B120</f>
        <v/>
      </c>
      <c r="E117" s="142" t="str">
        <f>'Sign-On'!D120</f>
        <v/>
      </c>
      <c r="F117" s="142" t="str">
        <f>'Sign-On'!H120</f>
        <v/>
      </c>
      <c r="G117" s="143" t="str">
        <f>'Sign-On'!F120</f>
        <v/>
      </c>
      <c r="H117" s="153">
        <f t="shared" si="23"/>
        <v>0.45138888888888862</v>
      </c>
      <c r="I117" s="154"/>
      <c r="J117" s="155" t="str">
        <f t="shared" si="17"/>
        <v/>
      </c>
      <c r="K117" s="189" t="str">
        <f t="shared" si="18"/>
        <v/>
      </c>
      <c r="L117" s="155" t="str">
        <f t="shared" si="24"/>
        <v/>
      </c>
      <c r="M117" s="155" t="str">
        <f t="shared" si="19"/>
        <v/>
      </c>
      <c r="N117" s="189" t="str">
        <f t="shared" si="20"/>
        <v/>
      </c>
      <c r="O117" s="155" t="str">
        <f t="shared" si="25"/>
        <v/>
      </c>
      <c r="P117" s="145" t="str">
        <f t="shared" si="21"/>
        <v/>
      </c>
      <c r="Q117" s="230" t="str">
        <f t="shared" si="22"/>
        <v/>
      </c>
      <c r="R117" s="233"/>
    </row>
    <row r="118" spans="1:18" ht="14.1" customHeight="1">
      <c r="A118" t="e">
        <f t="shared" si="15"/>
        <v>#VALUE!</v>
      </c>
      <c r="B118" t="e">
        <f t="shared" si="16"/>
        <v>#VALUE!</v>
      </c>
      <c r="C118" s="152">
        <f>'Sign-On'!A121</f>
        <v>111</v>
      </c>
      <c r="D118" s="142" t="str">
        <f>'Sign-On'!B121</f>
        <v/>
      </c>
      <c r="E118" s="142" t="str">
        <f>'Sign-On'!D121</f>
        <v/>
      </c>
      <c r="F118" s="142" t="str">
        <f>'Sign-On'!H121</f>
        <v/>
      </c>
      <c r="G118" s="143" t="str">
        <f>'Sign-On'!F121</f>
        <v/>
      </c>
      <c r="H118" s="153">
        <f t="shared" si="23"/>
        <v>0.45208333333333306</v>
      </c>
      <c r="I118" s="154"/>
      <c r="J118" s="155" t="str">
        <f t="shared" si="17"/>
        <v/>
      </c>
      <c r="K118" s="189" t="str">
        <f t="shared" si="18"/>
        <v/>
      </c>
      <c r="L118" s="155" t="str">
        <f t="shared" si="24"/>
        <v/>
      </c>
      <c r="M118" s="155" t="str">
        <f t="shared" si="19"/>
        <v/>
      </c>
      <c r="N118" s="189" t="str">
        <f t="shared" si="20"/>
        <v/>
      </c>
      <c r="O118" s="155" t="str">
        <f t="shared" si="25"/>
        <v/>
      </c>
      <c r="P118" s="145" t="str">
        <f t="shared" si="21"/>
        <v/>
      </c>
      <c r="Q118" s="230" t="str">
        <f t="shared" si="22"/>
        <v/>
      </c>
      <c r="R118" s="233"/>
    </row>
    <row r="119" spans="1:18" ht="14.1" customHeight="1">
      <c r="A119" t="e">
        <f t="shared" si="15"/>
        <v>#VALUE!</v>
      </c>
      <c r="B119" t="e">
        <f t="shared" si="16"/>
        <v>#VALUE!</v>
      </c>
      <c r="C119" s="152">
        <f>'Sign-On'!A122</f>
        <v>112</v>
      </c>
      <c r="D119" s="142" t="str">
        <f>'Sign-On'!B122</f>
        <v/>
      </c>
      <c r="E119" s="142" t="str">
        <f>'Sign-On'!D122</f>
        <v/>
      </c>
      <c r="F119" s="142" t="str">
        <f>'Sign-On'!H122</f>
        <v/>
      </c>
      <c r="G119" s="143" t="str">
        <f>'Sign-On'!F122</f>
        <v/>
      </c>
      <c r="H119" s="153">
        <f t="shared" si="23"/>
        <v>0.4527777777777775</v>
      </c>
      <c r="I119" s="154"/>
      <c r="J119" s="155" t="str">
        <f t="shared" si="17"/>
        <v/>
      </c>
      <c r="K119" s="189" t="str">
        <f t="shared" si="18"/>
        <v/>
      </c>
      <c r="L119" s="155" t="str">
        <f t="shared" si="24"/>
        <v/>
      </c>
      <c r="M119" s="155" t="str">
        <f t="shared" si="19"/>
        <v/>
      </c>
      <c r="N119" s="189" t="str">
        <f t="shared" si="20"/>
        <v/>
      </c>
      <c r="O119" s="155" t="str">
        <f t="shared" si="25"/>
        <v/>
      </c>
      <c r="P119" s="145" t="str">
        <f t="shared" si="21"/>
        <v/>
      </c>
      <c r="Q119" s="230" t="str">
        <f t="shared" si="22"/>
        <v/>
      </c>
      <c r="R119" s="233"/>
    </row>
    <row r="120" spans="1:18" ht="14.1" customHeight="1">
      <c r="A120" t="e">
        <f t="shared" si="15"/>
        <v>#VALUE!</v>
      </c>
      <c r="B120" t="e">
        <f t="shared" si="16"/>
        <v>#VALUE!</v>
      </c>
      <c r="C120" s="152">
        <f>'Sign-On'!A123</f>
        <v>113</v>
      </c>
      <c r="D120" s="142" t="str">
        <f>'Sign-On'!B123</f>
        <v/>
      </c>
      <c r="E120" s="142" t="str">
        <f>'Sign-On'!D123</f>
        <v/>
      </c>
      <c r="F120" s="142" t="str">
        <f>'Sign-On'!H123</f>
        <v/>
      </c>
      <c r="G120" s="143" t="str">
        <f>'Sign-On'!F123</f>
        <v/>
      </c>
      <c r="H120" s="153">
        <f t="shared" si="23"/>
        <v>0.45347222222222194</v>
      </c>
      <c r="I120" s="154"/>
      <c r="J120" s="155" t="str">
        <f t="shared" si="17"/>
        <v/>
      </c>
      <c r="K120" s="189" t="str">
        <f t="shared" si="18"/>
        <v/>
      </c>
      <c r="L120" s="155" t="str">
        <f t="shared" si="24"/>
        <v/>
      </c>
      <c r="M120" s="155" t="str">
        <f t="shared" si="19"/>
        <v/>
      </c>
      <c r="N120" s="189" t="str">
        <f t="shared" si="20"/>
        <v/>
      </c>
      <c r="O120" s="155" t="str">
        <f t="shared" si="25"/>
        <v/>
      </c>
      <c r="P120" s="145" t="str">
        <f t="shared" si="21"/>
        <v/>
      </c>
      <c r="Q120" s="230" t="str">
        <f t="shared" si="22"/>
        <v/>
      </c>
      <c r="R120" s="233"/>
    </row>
    <row r="121" spans="1:18" ht="14.1" customHeight="1">
      <c r="A121" t="e">
        <f t="shared" si="15"/>
        <v>#VALUE!</v>
      </c>
      <c r="B121" t="e">
        <f t="shared" si="16"/>
        <v>#VALUE!</v>
      </c>
      <c r="C121" s="152">
        <f>'Sign-On'!A124</f>
        <v>114</v>
      </c>
      <c r="D121" s="142" t="str">
        <f>'Sign-On'!B124</f>
        <v/>
      </c>
      <c r="E121" s="142" t="str">
        <f>'Sign-On'!D124</f>
        <v/>
      </c>
      <c r="F121" s="142" t="str">
        <f>'Sign-On'!H124</f>
        <v/>
      </c>
      <c r="G121" s="143" t="str">
        <f>'Sign-On'!F124</f>
        <v/>
      </c>
      <c r="H121" s="153">
        <f t="shared" si="23"/>
        <v>0.45416666666666639</v>
      </c>
      <c r="I121" s="154"/>
      <c r="J121" s="155" t="str">
        <f t="shared" si="17"/>
        <v/>
      </c>
      <c r="K121" s="189" t="str">
        <f t="shared" si="18"/>
        <v/>
      </c>
      <c r="L121" s="155" t="str">
        <f t="shared" si="24"/>
        <v/>
      </c>
      <c r="M121" s="155" t="str">
        <f t="shared" si="19"/>
        <v/>
      </c>
      <c r="N121" s="189" t="str">
        <f t="shared" si="20"/>
        <v/>
      </c>
      <c r="O121" s="155" t="str">
        <f t="shared" si="25"/>
        <v/>
      </c>
      <c r="P121" s="145" t="str">
        <f t="shared" si="21"/>
        <v/>
      </c>
      <c r="Q121" s="230" t="str">
        <f t="shared" si="22"/>
        <v/>
      </c>
      <c r="R121" s="233"/>
    </row>
    <row r="122" spans="1:18" ht="14.1" customHeight="1">
      <c r="A122" t="e">
        <f t="shared" si="15"/>
        <v>#VALUE!</v>
      </c>
      <c r="B122" t="e">
        <f t="shared" si="16"/>
        <v>#VALUE!</v>
      </c>
      <c r="C122" s="152">
        <f>'Sign-On'!A125</f>
        <v>115</v>
      </c>
      <c r="D122" s="142" t="str">
        <f>'Sign-On'!B125</f>
        <v/>
      </c>
      <c r="E122" s="142" t="str">
        <f>'Sign-On'!D125</f>
        <v/>
      </c>
      <c r="F122" s="142" t="str">
        <f>'Sign-On'!H125</f>
        <v/>
      </c>
      <c r="G122" s="143" t="str">
        <f>'Sign-On'!F125</f>
        <v/>
      </c>
      <c r="H122" s="153">
        <f t="shared" si="23"/>
        <v>0.45486111111111083</v>
      </c>
      <c r="I122" s="154"/>
      <c r="J122" s="155" t="str">
        <f t="shared" si="17"/>
        <v/>
      </c>
      <c r="K122" s="189" t="str">
        <f t="shared" si="18"/>
        <v/>
      </c>
      <c r="L122" s="155" t="str">
        <f t="shared" si="24"/>
        <v/>
      </c>
      <c r="M122" s="155" t="str">
        <f t="shared" si="19"/>
        <v/>
      </c>
      <c r="N122" s="189" t="str">
        <f t="shared" si="20"/>
        <v/>
      </c>
      <c r="O122" s="155" t="str">
        <f t="shared" si="25"/>
        <v/>
      </c>
      <c r="P122" s="145" t="str">
        <f t="shared" si="21"/>
        <v/>
      </c>
      <c r="Q122" s="230" t="str">
        <f t="shared" si="22"/>
        <v/>
      </c>
      <c r="R122" s="233"/>
    </row>
    <row r="123" spans="1:18" ht="14.1" customHeight="1">
      <c r="A123" t="e">
        <f t="shared" si="15"/>
        <v>#VALUE!</v>
      </c>
      <c r="B123" t="e">
        <f t="shared" si="16"/>
        <v>#VALUE!</v>
      </c>
      <c r="C123" s="152">
        <f>'Sign-On'!A126</f>
        <v>116</v>
      </c>
      <c r="D123" s="142" t="str">
        <f>'Sign-On'!B126</f>
        <v/>
      </c>
      <c r="E123" s="142" t="str">
        <f>'Sign-On'!D126</f>
        <v/>
      </c>
      <c r="F123" s="142" t="str">
        <f>'Sign-On'!H126</f>
        <v/>
      </c>
      <c r="G123" s="143" t="str">
        <f>'Sign-On'!F126</f>
        <v/>
      </c>
      <c r="H123" s="153">
        <f t="shared" si="23"/>
        <v>0.45555555555555527</v>
      </c>
      <c r="I123" s="154"/>
      <c r="J123" s="155" t="str">
        <f t="shared" si="17"/>
        <v/>
      </c>
      <c r="K123" s="189" t="str">
        <f t="shared" si="18"/>
        <v/>
      </c>
      <c r="L123" s="155" t="str">
        <f t="shared" si="24"/>
        <v/>
      </c>
      <c r="M123" s="155" t="str">
        <f t="shared" si="19"/>
        <v/>
      </c>
      <c r="N123" s="189" t="str">
        <f t="shared" si="20"/>
        <v/>
      </c>
      <c r="O123" s="155" t="str">
        <f t="shared" si="25"/>
        <v/>
      </c>
      <c r="P123" s="145" t="str">
        <f t="shared" si="21"/>
        <v/>
      </c>
      <c r="Q123" s="230" t="str">
        <f t="shared" si="22"/>
        <v/>
      </c>
      <c r="R123" s="233"/>
    </row>
    <row r="124" spans="1:18" ht="14.1" customHeight="1">
      <c r="A124" t="e">
        <f t="shared" si="15"/>
        <v>#VALUE!</v>
      </c>
      <c r="B124" t="e">
        <f t="shared" si="16"/>
        <v>#VALUE!</v>
      </c>
      <c r="C124" s="152">
        <f>'Sign-On'!A127</f>
        <v>117</v>
      </c>
      <c r="D124" s="142" t="str">
        <f>'Sign-On'!B127</f>
        <v/>
      </c>
      <c r="E124" s="142" t="str">
        <f>'Sign-On'!D127</f>
        <v/>
      </c>
      <c r="F124" s="142" t="str">
        <f>'Sign-On'!H127</f>
        <v/>
      </c>
      <c r="G124" s="143" t="str">
        <f>'Sign-On'!F127</f>
        <v/>
      </c>
      <c r="H124" s="153">
        <f t="shared" si="23"/>
        <v>0.45624999999999971</v>
      </c>
      <c r="I124" s="154"/>
      <c r="J124" s="155" t="str">
        <f t="shared" si="17"/>
        <v/>
      </c>
      <c r="K124" s="189" t="str">
        <f t="shared" si="18"/>
        <v/>
      </c>
      <c r="L124" s="155" t="str">
        <f t="shared" si="24"/>
        <v/>
      </c>
      <c r="M124" s="155" t="str">
        <f t="shared" si="19"/>
        <v/>
      </c>
      <c r="N124" s="189" t="str">
        <f t="shared" si="20"/>
        <v/>
      </c>
      <c r="O124" s="155" t="str">
        <f t="shared" si="25"/>
        <v/>
      </c>
      <c r="P124" s="145" t="str">
        <f t="shared" si="21"/>
        <v/>
      </c>
      <c r="Q124" s="230" t="str">
        <f t="shared" si="22"/>
        <v/>
      </c>
      <c r="R124" s="233"/>
    </row>
    <row r="125" spans="1:18" ht="14.1" customHeight="1">
      <c r="A125" t="e">
        <f t="shared" si="15"/>
        <v>#VALUE!</v>
      </c>
      <c r="B125" t="e">
        <f t="shared" si="16"/>
        <v>#VALUE!</v>
      </c>
      <c r="C125" s="152">
        <f>'Sign-On'!A128</f>
        <v>118</v>
      </c>
      <c r="D125" s="142" t="str">
        <f>'Sign-On'!B128</f>
        <v/>
      </c>
      <c r="E125" s="142" t="str">
        <f>'Sign-On'!D128</f>
        <v/>
      </c>
      <c r="F125" s="142" t="str">
        <f>'Sign-On'!H128</f>
        <v/>
      </c>
      <c r="G125" s="143" t="str">
        <f>'Sign-On'!F128</f>
        <v/>
      </c>
      <c r="H125" s="153">
        <f t="shared" si="23"/>
        <v>0.45694444444444415</v>
      </c>
      <c r="I125" s="154"/>
      <c r="J125" s="155" t="str">
        <f t="shared" si="17"/>
        <v/>
      </c>
      <c r="K125" s="189" t="str">
        <f t="shared" si="18"/>
        <v/>
      </c>
      <c r="L125" s="155" t="str">
        <f t="shared" si="24"/>
        <v/>
      </c>
      <c r="M125" s="155" t="str">
        <f t="shared" si="19"/>
        <v/>
      </c>
      <c r="N125" s="189" t="str">
        <f t="shared" si="20"/>
        <v/>
      </c>
      <c r="O125" s="155" t="str">
        <f t="shared" si="25"/>
        <v/>
      </c>
      <c r="P125" s="145" t="str">
        <f t="shared" si="21"/>
        <v/>
      </c>
      <c r="Q125" s="230" t="str">
        <f t="shared" si="22"/>
        <v/>
      </c>
      <c r="R125" s="233"/>
    </row>
    <row r="126" spans="1:18" ht="14.1" customHeight="1">
      <c r="A126" t="e">
        <f t="shared" si="15"/>
        <v>#VALUE!</v>
      </c>
      <c r="B126" t="e">
        <f t="shared" si="16"/>
        <v>#VALUE!</v>
      </c>
      <c r="C126" s="152">
        <f>'Sign-On'!A129</f>
        <v>119</v>
      </c>
      <c r="D126" s="142" t="str">
        <f>'Sign-On'!B129</f>
        <v/>
      </c>
      <c r="E126" s="142" t="str">
        <f>'Sign-On'!D129</f>
        <v/>
      </c>
      <c r="F126" s="142" t="str">
        <f>'Sign-On'!H129</f>
        <v/>
      </c>
      <c r="G126" s="143" t="str">
        <f>'Sign-On'!F129</f>
        <v/>
      </c>
      <c r="H126" s="153">
        <f t="shared" si="23"/>
        <v>0.4576388888888886</v>
      </c>
      <c r="I126" s="154"/>
      <c r="J126" s="155" t="str">
        <f t="shared" si="17"/>
        <v/>
      </c>
      <c r="K126" s="189" t="str">
        <f t="shared" si="18"/>
        <v/>
      </c>
      <c r="L126" s="155" t="str">
        <f t="shared" si="24"/>
        <v/>
      </c>
      <c r="M126" s="155" t="str">
        <f t="shared" si="19"/>
        <v/>
      </c>
      <c r="N126" s="189" t="str">
        <f t="shared" si="20"/>
        <v/>
      </c>
      <c r="O126" s="155" t="str">
        <f t="shared" si="25"/>
        <v/>
      </c>
      <c r="P126" s="145" t="str">
        <f t="shared" si="21"/>
        <v/>
      </c>
      <c r="Q126" s="230" t="str">
        <f t="shared" si="22"/>
        <v/>
      </c>
      <c r="R126" s="233"/>
    </row>
    <row r="127" spans="1:18" ht="14.1" customHeight="1">
      <c r="A127" t="e">
        <f t="shared" si="15"/>
        <v>#VALUE!</v>
      </c>
      <c r="B127" t="e">
        <f t="shared" si="16"/>
        <v>#VALUE!</v>
      </c>
      <c r="C127" s="152">
        <f>'Sign-On'!A130</f>
        <v>120</v>
      </c>
      <c r="D127" s="142" t="str">
        <f>'Sign-On'!B130</f>
        <v/>
      </c>
      <c r="E127" s="142" t="str">
        <f>'Sign-On'!D130</f>
        <v/>
      </c>
      <c r="F127" s="142" t="str">
        <f>'Sign-On'!H130</f>
        <v/>
      </c>
      <c r="G127" s="143" t="str">
        <f>'Sign-On'!F130</f>
        <v/>
      </c>
      <c r="H127" s="153">
        <f t="shared" si="23"/>
        <v>0.45833333333333304</v>
      </c>
      <c r="I127" s="154"/>
      <c r="J127" s="155" t="str">
        <f t="shared" si="17"/>
        <v/>
      </c>
      <c r="K127" s="189" t="str">
        <f t="shared" si="18"/>
        <v/>
      </c>
      <c r="L127" s="155" t="str">
        <f t="shared" si="24"/>
        <v/>
      </c>
      <c r="M127" s="155" t="str">
        <f t="shared" si="19"/>
        <v/>
      </c>
      <c r="N127" s="189" t="str">
        <f t="shared" si="20"/>
        <v/>
      </c>
      <c r="O127" s="155" t="str">
        <f t="shared" si="25"/>
        <v/>
      </c>
      <c r="P127" s="145" t="str">
        <f t="shared" si="21"/>
        <v/>
      </c>
      <c r="Q127" s="230" t="str">
        <f t="shared" si="22"/>
        <v/>
      </c>
      <c r="R127" s="233"/>
    </row>
    <row r="128" spans="1:18" ht="14.1" customHeight="1">
      <c r="A128" t="e">
        <f t="shared" si="15"/>
        <v>#VALUE!</v>
      </c>
      <c r="B128" t="e">
        <f t="shared" si="16"/>
        <v>#VALUE!</v>
      </c>
      <c r="C128" s="152">
        <f>'Sign-On'!A131</f>
        <v>121</v>
      </c>
      <c r="D128" s="142" t="str">
        <f>'Sign-On'!B131</f>
        <v/>
      </c>
      <c r="E128" s="142" t="str">
        <f>'Sign-On'!D131</f>
        <v/>
      </c>
      <c r="F128" s="142" t="str">
        <f>'Sign-On'!H131</f>
        <v/>
      </c>
      <c r="G128" s="143" t="str">
        <f>'Sign-On'!F131</f>
        <v/>
      </c>
      <c r="H128" s="153">
        <f t="shared" si="23"/>
        <v>0.45902777777777748</v>
      </c>
      <c r="I128" s="154"/>
      <c r="J128" s="155" t="str">
        <f t="shared" si="17"/>
        <v/>
      </c>
      <c r="K128" s="189" t="str">
        <f t="shared" si="18"/>
        <v/>
      </c>
      <c r="L128" s="155" t="str">
        <f t="shared" si="24"/>
        <v/>
      </c>
      <c r="M128" s="155" t="str">
        <f t="shared" si="19"/>
        <v/>
      </c>
      <c r="N128" s="189" t="str">
        <f t="shared" si="20"/>
        <v/>
      </c>
      <c r="O128" s="155" t="str">
        <f t="shared" si="25"/>
        <v/>
      </c>
      <c r="P128" s="145" t="str">
        <f t="shared" si="21"/>
        <v/>
      </c>
      <c r="Q128" s="230" t="str">
        <f t="shared" si="22"/>
        <v/>
      </c>
      <c r="R128" s="233"/>
    </row>
    <row r="129" spans="1:18" ht="14.1" customHeight="1">
      <c r="A129" t="e">
        <f t="shared" si="15"/>
        <v>#VALUE!</v>
      </c>
      <c r="B129" t="e">
        <f t="shared" si="16"/>
        <v>#VALUE!</v>
      </c>
      <c r="C129" s="152">
        <f>'Sign-On'!A132</f>
        <v>122</v>
      </c>
      <c r="D129" s="142" t="str">
        <f>'Sign-On'!B132</f>
        <v/>
      </c>
      <c r="E129" s="142" t="str">
        <f>'Sign-On'!D132</f>
        <v/>
      </c>
      <c r="F129" s="142" t="str">
        <f>'Sign-On'!H132</f>
        <v/>
      </c>
      <c r="G129" s="143" t="str">
        <f>'Sign-On'!F132</f>
        <v/>
      </c>
      <c r="H129" s="153">
        <f t="shared" si="23"/>
        <v>0.45972222222222192</v>
      </c>
      <c r="I129" s="154"/>
      <c r="J129" s="155" t="str">
        <f t="shared" si="17"/>
        <v/>
      </c>
      <c r="K129" s="189" t="str">
        <f t="shared" si="18"/>
        <v/>
      </c>
      <c r="L129" s="155" t="str">
        <f t="shared" si="24"/>
        <v/>
      </c>
      <c r="M129" s="155" t="str">
        <f t="shared" si="19"/>
        <v/>
      </c>
      <c r="N129" s="189" t="str">
        <f t="shared" si="20"/>
        <v/>
      </c>
      <c r="O129" s="155" t="str">
        <f t="shared" si="25"/>
        <v/>
      </c>
      <c r="P129" s="145" t="str">
        <f t="shared" si="21"/>
        <v/>
      </c>
      <c r="Q129" s="230" t="str">
        <f t="shared" si="22"/>
        <v/>
      </c>
      <c r="R129" s="233"/>
    </row>
    <row r="130" spans="1:18" ht="14.1" customHeight="1">
      <c r="A130" t="e">
        <f t="shared" si="15"/>
        <v>#VALUE!</v>
      </c>
      <c r="B130" t="e">
        <f t="shared" si="16"/>
        <v>#VALUE!</v>
      </c>
      <c r="C130" s="152">
        <f>'Sign-On'!A133</f>
        <v>123</v>
      </c>
      <c r="D130" s="142" t="str">
        <f>'Sign-On'!B133</f>
        <v/>
      </c>
      <c r="E130" s="142" t="str">
        <f>'Sign-On'!D133</f>
        <v/>
      </c>
      <c r="F130" s="142" t="str">
        <f>'Sign-On'!H133</f>
        <v/>
      </c>
      <c r="G130" s="143" t="str">
        <f>'Sign-On'!F133</f>
        <v/>
      </c>
      <c r="H130" s="153">
        <f t="shared" si="23"/>
        <v>0.46041666666666636</v>
      </c>
      <c r="I130" s="154"/>
      <c r="J130" s="155" t="str">
        <f t="shared" si="17"/>
        <v/>
      </c>
      <c r="K130" s="189" t="str">
        <f t="shared" si="18"/>
        <v/>
      </c>
      <c r="L130" s="155" t="str">
        <f t="shared" si="24"/>
        <v/>
      </c>
      <c r="M130" s="155" t="str">
        <f t="shared" si="19"/>
        <v/>
      </c>
      <c r="N130" s="189" t="str">
        <f t="shared" si="20"/>
        <v/>
      </c>
      <c r="O130" s="155" t="str">
        <f t="shared" si="25"/>
        <v/>
      </c>
      <c r="P130" s="145" t="str">
        <f t="shared" si="21"/>
        <v/>
      </c>
      <c r="Q130" s="230" t="str">
        <f t="shared" si="22"/>
        <v/>
      </c>
      <c r="R130" s="233"/>
    </row>
    <row r="131" spans="1:18" ht="14.1" customHeight="1">
      <c r="A131" t="e">
        <f t="shared" si="15"/>
        <v>#VALUE!</v>
      </c>
      <c r="B131" t="e">
        <f t="shared" si="16"/>
        <v>#VALUE!</v>
      </c>
      <c r="C131" s="152">
        <f>'Sign-On'!A134</f>
        <v>124</v>
      </c>
      <c r="D131" s="142" t="str">
        <f>'Sign-On'!B134</f>
        <v/>
      </c>
      <c r="E131" s="142" t="str">
        <f>'Sign-On'!D134</f>
        <v/>
      </c>
      <c r="F131" s="142" t="str">
        <f>'Sign-On'!H134</f>
        <v/>
      </c>
      <c r="G131" s="143" t="str">
        <f>'Sign-On'!F134</f>
        <v/>
      </c>
      <c r="H131" s="153">
        <f t="shared" si="23"/>
        <v>0.46111111111111081</v>
      </c>
      <c r="I131" s="154"/>
      <c r="J131" s="155" t="str">
        <f t="shared" si="17"/>
        <v/>
      </c>
      <c r="K131" s="189" t="str">
        <f t="shared" si="18"/>
        <v/>
      </c>
      <c r="L131" s="155" t="str">
        <f t="shared" si="24"/>
        <v/>
      </c>
      <c r="M131" s="155" t="str">
        <f t="shared" si="19"/>
        <v/>
      </c>
      <c r="N131" s="189" t="str">
        <f t="shared" si="20"/>
        <v/>
      </c>
      <c r="O131" s="155" t="str">
        <f t="shared" si="25"/>
        <v/>
      </c>
      <c r="P131" s="145" t="str">
        <f t="shared" si="21"/>
        <v/>
      </c>
      <c r="Q131" s="230" t="str">
        <f t="shared" si="22"/>
        <v/>
      </c>
      <c r="R131" s="233"/>
    </row>
    <row r="132" spans="1:18" ht="14.1" customHeight="1">
      <c r="A132" t="e">
        <f t="shared" si="15"/>
        <v>#VALUE!</v>
      </c>
      <c r="B132" t="e">
        <f t="shared" si="16"/>
        <v>#VALUE!</v>
      </c>
      <c r="C132" s="152">
        <f>'Sign-On'!A135</f>
        <v>125</v>
      </c>
      <c r="D132" s="142" t="str">
        <f>'Sign-On'!B135</f>
        <v/>
      </c>
      <c r="E132" s="142" t="str">
        <f>'Sign-On'!D135</f>
        <v/>
      </c>
      <c r="F132" s="142" t="str">
        <f>'Sign-On'!H135</f>
        <v/>
      </c>
      <c r="G132" s="143" t="str">
        <f>'Sign-On'!F135</f>
        <v/>
      </c>
      <c r="H132" s="153">
        <f t="shared" si="23"/>
        <v>0.46180555555555525</v>
      </c>
      <c r="I132" s="154"/>
      <c r="J132" s="155" t="str">
        <f t="shared" si="17"/>
        <v/>
      </c>
      <c r="K132" s="189" t="str">
        <f t="shared" si="18"/>
        <v/>
      </c>
      <c r="L132" s="155" t="str">
        <f t="shared" si="24"/>
        <v/>
      </c>
      <c r="M132" s="155" t="str">
        <f t="shared" si="19"/>
        <v/>
      </c>
      <c r="N132" s="189" t="str">
        <f t="shared" si="20"/>
        <v/>
      </c>
      <c r="O132" s="155" t="str">
        <f t="shared" si="25"/>
        <v/>
      </c>
      <c r="P132" s="145" t="str">
        <f t="shared" si="21"/>
        <v/>
      </c>
      <c r="Q132" s="230" t="str">
        <f t="shared" si="22"/>
        <v/>
      </c>
      <c r="R132" s="233"/>
    </row>
    <row r="133" spans="1:18" ht="14.1" customHeight="1">
      <c r="A133" t="e">
        <f t="shared" si="15"/>
        <v>#VALUE!</v>
      </c>
      <c r="B133" t="e">
        <f t="shared" si="16"/>
        <v>#VALUE!</v>
      </c>
      <c r="C133" s="152">
        <f>'Sign-On'!A136</f>
        <v>126</v>
      </c>
      <c r="D133" s="142" t="str">
        <f>'Sign-On'!B136</f>
        <v/>
      </c>
      <c r="E133" s="142" t="str">
        <f>'Sign-On'!D136</f>
        <v/>
      </c>
      <c r="F133" s="142" t="str">
        <f>'Sign-On'!H136</f>
        <v/>
      </c>
      <c r="G133" s="143" t="str">
        <f>'Sign-On'!F136</f>
        <v/>
      </c>
      <c r="H133" s="153">
        <f t="shared" si="23"/>
        <v>0.46249999999999969</v>
      </c>
      <c r="I133" s="154"/>
      <c r="J133" s="155" t="str">
        <f t="shared" si="17"/>
        <v/>
      </c>
      <c r="K133" s="189" t="str">
        <f t="shared" si="18"/>
        <v/>
      </c>
      <c r="L133" s="155" t="str">
        <f t="shared" si="24"/>
        <v/>
      </c>
      <c r="M133" s="155" t="str">
        <f t="shared" si="19"/>
        <v/>
      </c>
      <c r="N133" s="189" t="str">
        <f t="shared" si="20"/>
        <v/>
      </c>
      <c r="O133" s="155" t="str">
        <f t="shared" si="25"/>
        <v/>
      </c>
      <c r="P133" s="145" t="str">
        <f t="shared" si="21"/>
        <v/>
      </c>
      <c r="Q133" s="230" t="str">
        <f t="shared" si="22"/>
        <v/>
      </c>
      <c r="R133" s="233"/>
    </row>
    <row r="134" spans="1:18" ht="14.1" customHeight="1">
      <c r="A134" t="e">
        <f t="shared" si="15"/>
        <v>#VALUE!</v>
      </c>
      <c r="B134" t="e">
        <f t="shared" si="16"/>
        <v>#VALUE!</v>
      </c>
      <c r="C134" s="152">
        <f>'Sign-On'!A137</f>
        <v>127</v>
      </c>
      <c r="D134" s="142" t="str">
        <f>'Sign-On'!B137</f>
        <v/>
      </c>
      <c r="E134" s="142" t="str">
        <f>'Sign-On'!D137</f>
        <v/>
      </c>
      <c r="F134" s="142" t="str">
        <f>'Sign-On'!H137</f>
        <v/>
      </c>
      <c r="G134" s="143" t="str">
        <f>'Sign-On'!F137</f>
        <v/>
      </c>
      <c r="H134" s="153">
        <f t="shared" si="23"/>
        <v>0.46319444444444413</v>
      </c>
      <c r="I134" s="154"/>
      <c r="J134" s="155" t="str">
        <f t="shared" si="17"/>
        <v/>
      </c>
      <c r="K134" s="189" t="str">
        <f t="shared" si="18"/>
        <v/>
      </c>
      <c r="L134" s="155" t="str">
        <f t="shared" si="24"/>
        <v/>
      </c>
      <c r="M134" s="155" t="str">
        <f t="shared" si="19"/>
        <v/>
      </c>
      <c r="N134" s="189" t="str">
        <f t="shared" si="20"/>
        <v/>
      </c>
      <c r="O134" s="155" t="str">
        <f t="shared" si="25"/>
        <v/>
      </c>
      <c r="P134" s="145" t="str">
        <f t="shared" si="21"/>
        <v/>
      </c>
      <c r="Q134" s="230" t="str">
        <f t="shared" si="22"/>
        <v/>
      </c>
      <c r="R134" s="233"/>
    </row>
    <row r="135" spans="1:18" ht="14.1" customHeight="1">
      <c r="A135" t="e">
        <f t="shared" si="15"/>
        <v>#VALUE!</v>
      </c>
      <c r="B135" t="e">
        <f t="shared" si="16"/>
        <v>#VALUE!</v>
      </c>
      <c r="C135" s="152">
        <f>'Sign-On'!A138</f>
        <v>128</v>
      </c>
      <c r="D135" s="142" t="str">
        <f>'Sign-On'!B138</f>
        <v/>
      </c>
      <c r="E135" s="142" t="str">
        <f>'Sign-On'!D138</f>
        <v/>
      </c>
      <c r="F135" s="142" t="str">
        <f>'Sign-On'!H138</f>
        <v/>
      </c>
      <c r="G135" s="143" t="str">
        <f>'Sign-On'!F138</f>
        <v/>
      </c>
      <c r="H135" s="153">
        <f t="shared" si="23"/>
        <v>0.46388888888888857</v>
      </c>
      <c r="I135" s="154"/>
      <c r="J135" s="155" t="str">
        <f t="shared" si="17"/>
        <v/>
      </c>
      <c r="K135" s="189" t="str">
        <f t="shared" si="18"/>
        <v/>
      </c>
      <c r="L135" s="155" t="str">
        <f t="shared" si="24"/>
        <v/>
      </c>
      <c r="M135" s="155" t="str">
        <f t="shared" si="19"/>
        <v/>
      </c>
      <c r="N135" s="189" t="str">
        <f t="shared" si="20"/>
        <v/>
      </c>
      <c r="O135" s="155" t="str">
        <f t="shared" si="25"/>
        <v/>
      </c>
      <c r="P135" s="145" t="str">
        <f t="shared" si="21"/>
        <v/>
      </c>
      <c r="Q135" s="230" t="str">
        <f t="shared" si="22"/>
        <v/>
      </c>
      <c r="R135" s="233"/>
    </row>
    <row r="136" spans="1:18" ht="14.1" customHeight="1">
      <c r="A136" t="e">
        <f t="shared" si="15"/>
        <v>#VALUE!</v>
      </c>
      <c r="B136" t="e">
        <f t="shared" si="16"/>
        <v>#VALUE!</v>
      </c>
      <c r="C136" s="152">
        <f>'Sign-On'!A139</f>
        <v>129</v>
      </c>
      <c r="D136" s="142" t="str">
        <f>'Sign-On'!B139</f>
        <v/>
      </c>
      <c r="E136" s="142" t="str">
        <f>'Sign-On'!D139</f>
        <v/>
      </c>
      <c r="F136" s="142" t="str">
        <f>'Sign-On'!H139</f>
        <v/>
      </c>
      <c r="G136" s="143" t="str">
        <f>'Sign-On'!F139</f>
        <v/>
      </c>
      <c r="H136" s="153">
        <f t="shared" si="23"/>
        <v>0.46458333333333302</v>
      </c>
      <c r="I136" s="154"/>
      <c r="J136" s="155" t="str">
        <f t="shared" si="17"/>
        <v/>
      </c>
      <c r="K136" s="189" t="str">
        <f t="shared" si="18"/>
        <v/>
      </c>
      <c r="L136" s="155" t="str">
        <f t="shared" ref="L136:L167" si="26">IF(ISERROR(VLOOKUP(C136,Entrants,16,FALSE)),"",VLOOKUP(C136,Entrants,16,FALSE))</f>
        <v/>
      </c>
      <c r="M136" s="155" t="str">
        <f t="shared" si="19"/>
        <v/>
      </c>
      <c r="N136" s="189" t="str">
        <f t="shared" si="20"/>
        <v/>
      </c>
      <c r="O136" s="155" t="str">
        <f t="shared" ref="O136:O167" si="27">IF(ISERROR(VLOOKUP(C136,Entrants,20,FALSE)),"",VLOOKUP(C136,Entrants,20,FALSE))</f>
        <v/>
      </c>
      <c r="P136" s="145" t="str">
        <f t="shared" si="21"/>
        <v/>
      </c>
      <c r="Q136" s="230" t="str">
        <f t="shared" si="22"/>
        <v/>
      </c>
      <c r="R136" s="233"/>
    </row>
    <row r="137" spans="1:18" ht="14.1" customHeight="1">
      <c r="A137" t="e">
        <f t="shared" ref="A137:A200" si="28">RANK(K137,$K$8:$K$208,1)</f>
        <v>#VALUE!</v>
      </c>
      <c r="B137" t="e">
        <f t="shared" ref="B137:B177" si="29">RANK(N137,$N$8:$N$208,1)</f>
        <v>#VALUE!</v>
      </c>
      <c r="C137" s="152">
        <f>'Sign-On'!A140</f>
        <v>130</v>
      </c>
      <c r="D137" s="142" t="str">
        <f>'Sign-On'!B140</f>
        <v/>
      </c>
      <c r="E137" s="142" t="str">
        <f>'Sign-On'!D140</f>
        <v/>
      </c>
      <c r="F137" s="142" t="str">
        <f>'Sign-On'!H140</f>
        <v/>
      </c>
      <c r="G137" s="143" t="str">
        <f>'Sign-On'!F140</f>
        <v/>
      </c>
      <c r="H137" s="153">
        <f t="shared" si="23"/>
        <v>0.46527777777777746</v>
      </c>
      <c r="I137" s="154"/>
      <c r="J137" s="155" t="str">
        <f t="shared" ref="J137:J157" si="30">IF(I137="","",I137-H137)</f>
        <v/>
      </c>
      <c r="K137" s="189" t="str">
        <f t="shared" ref="K137:K177" si="31">IF(IF(AND(J137="",D137=""),"",IF(AND(J137&lt;&gt;"",D137&lt;&gt;""),J137+0.000000001*ROW(),IF(AND(J137="",D137&lt;&gt;""),5*ROW())))&gt;1,"",IF(AND(J137="",D137=""),"",IF(AND(J137&lt;&gt;"",D137&lt;&gt;""),J137+0.000000001*ROW(),IF(AND(J137="",D137&lt;&gt;""),5*ROW()))))</f>
        <v/>
      </c>
      <c r="L137" s="155" t="str">
        <f t="shared" si="26"/>
        <v/>
      </c>
      <c r="M137" s="155" t="str">
        <f t="shared" ref="M137:M157" si="32">IF(OR(L137="",J137=""),"",J137-L137)</f>
        <v/>
      </c>
      <c r="N137" s="189" t="str">
        <f t="shared" ref="N137:N177" si="33">IF(IF(AND(M137="",D137=""),"",IF(AND(M137&lt;&gt;"",D137&lt;&gt;""),M137+0.000000001*ROW(),IF(AND(M137="",D137&lt;&gt;""),5*ROW())))&gt;1,"",IF(AND(M137="",D137=""),"",IF(AND(M137&lt;&gt;"",D137&lt;&gt;""),M137+0.000000001*ROW(),IF(AND(M137="",D137&lt;&gt;""),5*ROW()))))</f>
        <v/>
      </c>
      <c r="O137" s="155" t="str">
        <f t="shared" si="27"/>
        <v/>
      </c>
      <c r="P137" s="145" t="str">
        <f t="shared" ref="P137:P157" si="34">IF(OR(O137="",J137=""),"",IF(J137&gt;O137,"-","+"))</f>
        <v/>
      </c>
      <c r="Q137" s="230" t="str">
        <f t="shared" ref="Q137:Q157" si="35">IF(OR(O137="",J137=""),"",IF(J137&gt;O137,J137-O137,O137-J137))</f>
        <v/>
      </c>
      <c r="R137" s="233"/>
    </row>
    <row r="138" spans="1:18" ht="14.1" customHeight="1">
      <c r="A138" t="e">
        <f t="shared" si="28"/>
        <v>#VALUE!</v>
      </c>
      <c r="B138" t="e">
        <f t="shared" si="29"/>
        <v>#VALUE!</v>
      </c>
      <c r="C138" s="152">
        <f>'Sign-On'!A141</f>
        <v>131</v>
      </c>
      <c r="D138" s="142" t="str">
        <f>'Sign-On'!B141</f>
        <v/>
      </c>
      <c r="E138" s="142" t="str">
        <f>'Sign-On'!D141</f>
        <v/>
      </c>
      <c r="F138" s="142" t="str">
        <f>'Sign-On'!H141</f>
        <v/>
      </c>
      <c r="G138" s="143" t="str">
        <f>'Sign-On'!F141</f>
        <v/>
      </c>
      <c r="H138" s="153">
        <f t="shared" ref="H138:H177" si="36">H137+1/1440</f>
        <v>0.4659722222222219</v>
      </c>
      <c r="I138" s="154"/>
      <c r="J138" s="155" t="str">
        <f t="shared" si="30"/>
        <v/>
      </c>
      <c r="K138" s="189" t="str">
        <f t="shared" si="31"/>
        <v/>
      </c>
      <c r="L138" s="155" t="str">
        <f t="shared" si="26"/>
        <v/>
      </c>
      <c r="M138" s="155" t="str">
        <f t="shared" si="32"/>
        <v/>
      </c>
      <c r="N138" s="189" t="str">
        <f t="shared" si="33"/>
        <v/>
      </c>
      <c r="O138" s="155" t="str">
        <f t="shared" si="27"/>
        <v/>
      </c>
      <c r="P138" s="145" t="str">
        <f t="shared" si="34"/>
        <v/>
      </c>
      <c r="Q138" s="230" t="str">
        <f t="shared" si="35"/>
        <v/>
      </c>
      <c r="R138" s="233"/>
    </row>
    <row r="139" spans="1:18" ht="14.1" customHeight="1">
      <c r="A139" t="e">
        <f t="shared" si="28"/>
        <v>#VALUE!</v>
      </c>
      <c r="B139" t="e">
        <f t="shared" si="29"/>
        <v>#VALUE!</v>
      </c>
      <c r="C139" s="152">
        <f>'Sign-On'!A142</f>
        <v>132</v>
      </c>
      <c r="D139" s="142" t="str">
        <f>'Sign-On'!B142</f>
        <v/>
      </c>
      <c r="E139" s="142" t="str">
        <f>'Sign-On'!D142</f>
        <v/>
      </c>
      <c r="F139" s="142" t="str">
        <f>'Sign-On'!H142</f>
        <v/>
      </c>
      <c r="G139" s="143" t="str">
        <f>'Sign-On'!F142</f>
        <v/>
      </c>
      <c r="H139" s="153">
        <f t="shared" si="36"/>
        <v>0.46666666666666634</v>
      </c>
      <c r="I139" s="154"/>
      <c r="J139" s="155" t="str">
        <f t="shared" si="30"/>
        <v/>
      </c>
      <c r="K139" s="189" t="str">
        <f t="shared" si="31"/>
        <v/>
      </c>
      <c r="L139" s="155" t="str">
        <f t="shared" si="26"/>
        <v/>
      </c>
      <c r="M139" s="155" t="str">
        <f t="shared" si="32"/>
        <v/>
      </c>
      <c r="N139" s="189" t="str">
        <f t="shared" si="33"/>
        <v/>
      </c>
      <c r="O139" s="155" t="str">
        <f t="shared" si="27"/>
        <v/>
      </c>
      <c r="P139" s="145" t="str">
        <f t="shared" si="34"/>
        <v/>
      </c>
      <c r="Q139" s="230" t="str">
        <f t="shared" si="35"/>
        <v/>
      </c>
      <c r="R139" s="233"/>
    </row>
    <row r="140" spans="1:18" ht="14.1" customHeight="1">
      <c r="A140" t="e">
        <f t="shared" si="28"/>
        <v>#VALUE!</v>
      </c>
      <c r="B140" t="e">
        <f t="shared" si="29"/>
        <v>#VALUE!</v>
      </c>
      <c r="C140" s="152">
        <f>'Sign-On'!A143</f>
        <v>133</v>
      </c>
      <c r="D140" s="142" t="str">
        <f>'Sign-On'!B143</f>
        <v/>
      </c>
      <c r="E140" s="142" t="str">
        <f>'Sign-On'!D143</f>
        <v/>
      </c>
      <c r="F140" s="142" t="str">
        <f>'Sign-On'!H143</f>
        <v/>
      </c>
      <c r="G140" s="143" t="str">
        <f>'Sign-On'!F143</f>
        <v/>
      </c>
      <c r="H140" s="153">
        <f t="shared" si="36"/>
        <v>0.46736111111111078</v>
      </c>
      <c r="I140" s="154"/>
      <c r="J140" s="155" t="str">
        <f t="shared" si="30"/>
        <v/>
      </c>
      <c r="K140" s="189" t="str">
        <f t="shared" si="31"/>
        <v/>
      </c>
      <c r="L140" s="155" t="str">
        <f t="shared" si="26"/>
        <v/>
      </c>
      <c r="M140" s="155" t="str">
        <f t="shared" si="32"/>
        <v/>
      </c>
      <c r="N140" s="189" t="str">
        <f t="shared" si="33"/>
        <v/>
      </c>
      <c r="O140" s="155" t="str">
        <f t="shared" si="27"/>
        <v/>
      </c>
      <c r="P140" s="145" t="str">
        <f t="shared" si="34"/>
        <v/>
      </c>
      <c r="Q140" s="230" t="str">
        <f t="shared" si="35"/>
        <v/>
      </c>
      <c r="R140" s="233"/>
    </row>
    <row r="141" spans="1:18" ht="14.1" customHeight="1">
      <c r="A141" t="e">
        <f t="shared" si="28"/>
        <v>#VALUE!</v>
      </c>
      <c r="B141" t="e">
        <f t="shared" si="29"/>
        <v>#VALUE!</v>
      </c>
      <c r="C141" s="152">
        <f>'Sign-On'!A144</f>
        <v>134</v>
      </c>
      <c r="D141" s="142" t="str">
        <f>'Sign-On'!B144</f>
        <v/>
      </c>
      <c r="E141" s="142" t="str">
        <f>'Sign-On'!D144</f>
        <v/>
      </c>
      <c r="F141" s="142" t="str">
        <f>'Sign-On'!H144</f>
        <v/>
      </c>
      <c r="G141" s="143" t="str">
        <f>'Sign-On'!F144</f>
        <v/>
      </c>
      <c r="H141" s="153">
        <f t="shared" si="36"/>
        <v>0.46805555555555522</v>
      </c>
      <c r="I141" s="154"/>
      <c r="J141" s="155" t="str">
        <f t="shared" si="30"/>
        <v/>
      </c>
      <c r="K141" s="189" t="str">
        <f t="shared" si="31"/>
        <v/>
      </c>
      <c r="L141" s="155" t="str">
        <f t="shared" si="26"/>
        <v/>
      </c>
      <c r="M141" s="155" t="str">
        <f t="shared" si="32"/>
        <v/>
      </c>
      <c r="N141" s="189" t="str">
        <f t="shared" si="33"/>
        <v/>
      </c>
      <c r="O141" s="155" t="str">
        <f t="shared" si="27"/>
        <v/>
      </c>
      <c r="P141" s="145" t="str">
        <f t="shared" si="34"/>
        <v/>
      </c>
      <c r="Q141" s="230" t="str">
        <f t="shared" si="35"/>
        <v/>
      </c>
      <c r="R141" s="233"/>
    </row>
    <row r="142" spans="1:18" ht="14.1" customHeight="1">
      <c r="A142" t="e">
        <f t="shared" si="28"/>
        <v>#VALUE!</v>
      </c>
      <c r="B142" t="e">
        <f t="shared" si="29"/>
        <v>#VALUE!</v>
      </c>
      <c r="C142" s="152">
        <f>'Sign-On'!A145</f>
        <v>135</v>
      </c>
      <c r="D142" s="142" t="str">
        <f>'Sign-On'!B145</f>
        <v/>
      </c>
      <c r="E142" s="142" t="str">
        <f>'Sign-On'!D145</f>
        <v/>
      </c>
      <c r="F142" s="142" t="str">
        <f>'Sign-On'!H145</f>
        <v/>
      </c>
      <c r="G142" s="143" t="str">
        <f>'Sign-On'!F145</f>
        <v/>
      </c>
      <c r="H142" s="153">
        <f t="shared" si="36"/>
        <v>0.46874999999999967</v>
      </c>
      <c r="I142" s="154"/>
      <c r="J142" s="155" t="str">
        <f t="shared" si="30"/>
        <v/>
      </c>
      <c r="K142" s="189" t="str">
        <f t="shared" si="31"/>
        <v/>
      </c>
      <c r="L142" s="155" t="str">
        <f t="shared" si="26"/>
        <v/>
      </c>
      <c r="M142" s="155" t="str">
        <f t="shared" si="32"/>
        <v/>
      </c>
      <c r="N142" s="189" t="str">
        <f t="shared" si="33"/>
        <v/>
      </c>
      <c r="O142" s="155" t="str">
        <f t="shared" si="27"/>
        <v/>
      </c>
      <c r="P142" s="145" t="str">
        <f t="shared" si="34"/>
        <v/>
      </c>
      <c r="Q142" s="230" t="str">
        <f t="shared" si="35"/>
        <v/>
      </c>
      <c r="R142" s="233"/>
    </row>
    <row r="143" spans="1:18" ht="14.1" customHeight="1">
      <c r="A143" t="e">
        <f t="shared" si="28"/>
        <v>#VALUE!</v>
      </c>
      <c r="B143" t="e">
        <f t="shared" si="29"/>
        <v>#VALUE!</v>
      </c>
      <c r="C143" s="152">
        <f>'Sign-On'!A146</f>
        <v>136</v>
      </c>
      <c r="D143" s="142" t="str">
        <f>'Sign-On'!B146</f>
        <v/>
      </c>
      <c r="E143" s="142" t="str">
        <f>'Sign-On'!D146</f>
        <v/>
      </c>
      <c r="F143" s="142" t="str">
        <f>'Sign-On'!H146</f>
        <v/>
      </c>
      <c r="G143" s="143" t="str">
        <f>'Sign-On'!F146</f>
        <v/>
      </c>
      <c r="H143" s="153">
        <f t="shared" si="36"/>
        <v>0.46944444444444411</v>
      </c>
      <c r="I143" s="154"/>
      <c r="J143" s="155" t="str">
        <f t="shared" si="30"/>
        <v/>
      </c>
      <c r="K143" s="189" t="str">
        <f t="shared" si="31"/>
        <v/>
      </c>
      <c r="L143" s="155" t="str">
        <f t="shared" si="26"/>
        <v/>
      </c>
      <c r="M143" s="155" t="str">
        <f t="shared" si="32"/>
        <v/>
      </c>
      <c r="N143" s="189" t="str">
        <f t="shared" si="33"/>
        <v/>
      </c>
      <c r="O143" s="155" t="str">
        <f t="shared" si="27"/>
        <v/>
      </c>
      <c r="P143" s="145" t="str">
        <f t="shared" si="34"/>
        <v/>
      </c>
      <c r="Q143" s="230" t="str">
        <f t="shared" si="35"/>
        <v/>
      </c>
      <c r="R143" s="233"/>
    </row>
    <row r="144" spans="1:18" ht="14.1" customHeight="1">
      <c r="A144" t="e">
        <f t="shared" si="28"/>
        <v>#VALUE!</v>
      </c>
      <c r="B144" t="e">
        <f t="shared" si="29"/>
        <v>#VALUE!</v>
      </c>
      <c r="C144" s="152">
        <f>'Sign-On'!A147</f>
        <v>137</v>
      </c>
      <c r="D144" s="142" t="str">
        <f>'Sign-On'!B147</f>
        <v/>
      </c>
      <c r="E144" s="142" t="str">
        <f>'Sign-On'!D147</f>
        <v/>
      </c>
      <c r="F144" s="142" t="str">
        <f>'Sign-On'!H147</f>
        <v/>
      </c>
      <c r="G144" s="143" t="str">
        <f>'Sign-On'!F147</f>
        <v/>
      </c>
      <c r="H144" s="153">
        <f t="shared" si="36"/>
        <v>0.47013888888888855</v>
      </c>
      <c r="I144" s="154"/>
      <c r="J144" s="155" t="str">
        <f t="shared" si="30"/>
        <v/>
      </c>
      <c r="K144" s="189" t="str">
        <f t="shared" si="31"/>
        <v/>
      </c>
      <c r="L144" s="155" t="str">
        <f t="shared" si="26"/>
        <v/>
      </c>
      <c r="M144" s="155" t="str">
        <f t="shared" si="32"/>
        <v/>
      </c>
      <c r="N144" s="189" t="str">
        <f t="shared" si="33"/>
        <v/>
      </c>
      <c r="O144" s="155" t="str">
        <f t="shared" si="27"/>
        <v/>
      </c>
      <c r="P144" s="145" t="str">
        <f t="shared" si="34"/>
        <v/>
      </c>
      <c r="Q144" s="230" t="str">
        <f t="shared" si="35"/>
        <v/>
      </c>
      <c r="R144" s="233"/>
    </row>
    <row r="145" spans="1:18" ht="14.1" customHeight="1">
      <c r="A145" t="e">
        <f t="shared" si="28"/>
        <v>#VALUE!</v>
      </c>
      <c r="B145" t="e">
        <f t="shared" si="29"/>
        <v>#VALUE!</v>
      </c>
      <c r="C145" s="152">
        <f>'Sign-On'!A148</f>
        <v>138</v>
      </c>
      <c r="D145" s="142" t="str">
        <f>'Sign-On'!B148</f>
        <v/>
      </c>
      <c r="E145" s="142" t="str">
        <f>'Sign-On'!D148</f>
        <v/>
      </c>
      <c r="F145" s="142" t="str">
        <f>'Sign-On'!H148</f>
        <v/>
      </c>
      <c r="G145" s="143" t="str">
        <f>'Sign-On'!F148</f>
        <v/>
      </c>
      <c r="H145" s="153">
        <f t="shared" si="36"/>
        <v>0.47083333333333299</v>
      </c>
      <c r="I145" s="154"/>
      <c r="J145" s="155" t="str">
        <f t="shared" si="30"/>
        <v/>
      </c>
      <c r="K145" s="189" t="str">
        <f t="shared" si="31"/>
        <v/>
      </c>
      <c r="L145" s="155" t="str">
        <f t="shared" si="26"/>
        <v/>
      </c>
      <c r="M145" s="155" t="str">
        <f t="shared" si="32"/>
        <v/>
      </c>
      <c r="N145" s="189" t="str">
        <f t="shared" si="33"/>
        <v/>
      </c>
      <c r="O145" s="155" t="str">
        <f t="shared" si="27"/>
        <v/>
      </c>
      <c r="P145" s="145" t="str">
        <f t="shared" si="34"/>
        <v/>
      </c>
      <c r="Q145" s="230" t="str">
        <f t="shared" si="35"/>
        <v/>
      </c>
      <c r="R145" s="233"/>
    </row>
    <row r="146" spans="1:18" ht="14.1" customHeight="1">
      <c r="A146" t="e">
        <f t="shared" si="28"/>
        <v>#VALUE!</v>
      </c>
      <c r="B146" t="e">
        <f t="shared" si="29"/>
        <v>#VALUE!</v>
      </c>
      <c r="C146" s="152">
        <f>'Sign-On'!A149</f>
        <v>139</v>
      </c>
      <c r="D146" s="142" t="str">
        <f>'Sign-On'!B149</f>
        <v/>
      </c>
      <c r="E146" s="142" t="str">
        <f>'Sign-On'!D149</f>
        <v/>
      </c>
      <c r="F146" s="142" t="str">
        <f>'Sign-On'!H149</f>
        <v/>
      </c>
      <c r="G146" s="143" t="str">
        <f>'Sign-On'!F149</f>
        <v/>
      </c>
      <c r="H146" s="153">
        <f t="shared" si="36"/>
        <v>0.47152777777777743</v>
      </c>
      <c r="I146" s="154"/>
      <c r="J146" s="155" t="str">
        <f t="shared" si="30"/>
        <v/>
      </c>
      <c r="K146" s="189" t="str">
        <f t="shared" si="31"/>
        <v/>
      </c>
      <c r="L146" s="155" t="str">
        <f t="shared" si="26"/>
        <v/>
      </c>
      <c r="M146" s="155" t="str">
        <f t="shared" si="32"/>
        <v/>
      </c>
      <c r="N146" s="189" t="str">
        <f t="shared" si="33"/>
        <v/>
      </c>
      <c r="O146" s="155" t="str">
        <f t="shared" si="27"/>
        <v/>
      </c>
      <c r="P146" s="145" t="str">
        <f t="shared" si="34"/>
        <v/>
      </c>
      <c r="Q146" s="230" t="str">
        <f t="shared" si="35"/>
        <v/>
      </c>
      <c r="R146" s="233"/>
    </row>
    <row r="147" spans="1:18" ht="14.1" customHeight="1">
      <c r="A147" t="e">
        <f t="shared" si="28"/>
        <v>#VALUE!</v>
      </c>
      <c r="B147" t="e">
        <f t="shared" si="29"/>
        <v>#VALUE!</v>
      </c>
      <c r="C147" s="152">
        <f>'Sign-On'!A150</f>
        <v>140</v>
      </c>
      <c r="D147" s="142" t="str">
        <f>'Sign-On'!B150</f>
        <v/>
      </c>
      <c r="E147" s="142" t="str">
        <f>'Sign-On'!D150</f>
        <v/>
      </c>
      <c r="F147" s="142" t="str">
        <f>'Sign-On'!H150</f>
        <v/>
      </c>
      <c r="G147" s="143" t="str">
        <f>'Sign-On'!F150</f>
        <v/>
      </c>
      <c r="H147" s="153">
        <f t="shared" si="36"/>
        <v>0.47222222222222188</v>
      </c>
      <c r="I147" s="154"/>
      <c r="J147" s="155" t="str">
        <f t="shared" si="30"/>
        <v/>
      </c>
      <c r="K147" s="189" t="str">
        <f t="shared" si="31"/>
        <v/>
      </c>
      <c r="L147" s="155" t="str">
        <f t="shared" si="26"/>
        <v/>
      </c>
      <c r="M147" s="155" t="str">
        <f t="shared" si="32"/>
        <v/>
      </c>
      <c r="N147" s="189" t="str">
        <f t="shared" si="33"/>
        <v/>
      </c>
      <c r="O147" s="155" t="str">
        <f t="shared" si="27"/>
        <v/>
      </c>
      <c r="P147" s="145" t="str">
        <f t="shared" si="34"/>
        <v/>
      </c>
      <c r="Q147" s="230" t="str">
        <f t="shared" si="35"/>
        <v/>
      </c>
      <c r="R147" s="233"/>
    </row>
    <row r="148" spans="1:18" ht="14.1" customHeight="1">
      <c r="A148" t="e">
        <f t="shared" si="28"/>
        <v>#VALUE!</v>
      </c>
      <c r="B148" t="e">
        <f t="shared" si="29"/>
        <v>#VALUE!</v>
      </c>
      <c r="C148" s="152">
        <f>'Sign-On'!A151</f>
        <v>141</v>
      </c>
      <c r="D148" s="142" t="str">
        <f>'Sign-On'!B151</f>
        <v/>
      </c>
      <c r="E148" s="142" t="str">
        <f>'Sign-On'!D151</f>
        <v/>
      </c>
      <c r="F148" s="142" t="str">
        <f>'Sign-On'!H151</f>
        <v/>
      </c>
      <c r="G148" s="143" t="str">
        <f>'Sign-On'!F151</f>
        <v/>
      </c>
      <c r="H148" s="153">
        <f t="shared" si="36"/>
        <v>0.47291666666666632</v>
      </c>
      <c r="I148" s="154"/>
      <c r="J148" s="155" t="str">
        <f t="shared" si="30"/>
        <v/>
      </c>
      <c r="K148" s="189" t="str">
        <f t="shared" si="31"/>
        <v/>
      </c>
      <c r="L148" s="155" t="str">
        <f t="shared" si="26"/>
        <v/>
      </c>
      <c r="M148" s="155" t="str">
        <f t="shared" si="32"/>
        <v/>
      </c>
      <c r="N148" s="189" t="str">
        <f t="shared" si="33"/>
        <v/>
      </c>
      <c r="O148" s="155" t="str">
        <f t="shared" si="27"/>
        <v/>
      </c>
      <c r="P148" s="145" t="str">
        <f t="shared" si="34"/>
        <v/>
      </c>
      <c r="Q148" s="230" t="str">
        <f t="shared" si="35"/>
        <v/>
      </c>
      <c r="R148" s="233"/>
    </row>
    <row r="149" spans="1:18" ht="14.1" customHeight="1">
      <c r="A149" t="e">
        <f t="shared" si="28"/>
        <v>#VALUE!</v>
      </c>
      <c r="B149" t="e">
        <f t="shared" si="29"/>
        <v>#VALUE!</v>
      </c>
      <c r="C149" s="152">
        <f>'Sign-On'!A152</f>
        <v>142</v>
      </c>
      <c r="D149" s="142" t="str">
        <f>'Sign-On'!B152</f>
        <v/>
      </c>
      <c r="E149" s="142" t="str">
        <f>'Sign-On'!D152</f>
        <v/>
      </c>
      <c r="F149" s="142" t="str">
        <f>'Sign-On'!H152</f>
        <v/>
      </c>
      <c r="G149" s="143" t="str">
        <f>'Sign-On'!F152</f>
        <v/>
      </c>
      <c r="H149" s="153">
        <f t="shared" si="36"/>
        <v>0.47361111111111076</v>
      </c>
      <c r="I149" s="154"/>
      <c r="J149" s="155" t="str">
        <f t="shared" si="30"/>
        <v/>
      </c>
      <c r="K149" s="189" t="str">
        <f t="shared" si="31"/>
        <v/>
      </c>
      <c r="L149" s="155" t="str">
        <f t="shared" si="26"/>
        <v/>
      </c>
      <c r="M149" s="155" t="str">
        <f t="shared" si="32"/>
        <v/>
      </c>
      <c r="N149" s="189" t="str">
        <f t="shared" si="33"/>
        <v/>
      </c>
      <c r="O149" s="155" t="str">
        <f t="shared" si="27"/>
        <v/>
      </c>
      <c r="P149" s="145" t="str">
        <f t="shared" si="34"/>
        <v/>
      </c>
      <c r="Q149" s="230" t="str">
        <f t="shared" si="35"/>
        <v/>
      </c>
      <c r="R149" s="233"/>
    </row>
    <row r="150" spans="1:18" ht="14.1" customHeight="1">
      <c r="A150" t="e">
        <f t="shared" si="28"/>
        <v>#VALUE!</v>
      </c>
      <c r="B150" t="e">
        <f t="shared" si="29"/>
        <v>#VALUE!</v>
      </c>
      <c r="C150" s="152">
        <f>'Sign-On'!A153</f>
        <v>143</v>
      </c>
      <c r="D150" s="142" t="str">
        <f>'Sign-On'!B153</f>
        <v/>
      </c>
      <c r="E150" s="142" t="str">
        <f>'Sign-On'!D153</f>
        <v/>
      </c>
      <c r="F150" s="142" t="str">
        <f>'Sign-On'!H153</f>
        <v/>
      </c>
      <c r="G150" s="143" t="str">
        <f>'Sign-On'!F153</f>
        <v/>
      </c>
      <c r="H150" s="153">
        <f t="shared" si="36"/>
        <v>0.4743055555555552</v>
      </c>
      <c r="I150" s="154"/>
      <c r="J150" s="155" t="str">
        <f t="shared" si="30"/>
        <v/>
      </c>
      <c r="K150" s="189" t="str">
        <f t="shared" si="31"/>
        <v/>
      </c>
      <c r="L150" s="155" t="str">
        <f t="shared" si="26"/>
        <v/>
      </c>
      <c r="M150" s="155" t="str">
        <f t="shared" si="32"/>
        <v/>
      </c>
      <c r="N150" s="189" t="str">
        <f t="shared" si="33"/>
        <v/>
      </c>
      <c r="O150" s="155" t="str">
        <f t="shared" si="27"/>
        <v/>
      </c>
      <c r="P150" s="145" t="str">
        <f t="shared" si="34"/>
        <v/>
      </c>
      <c r="Q150" s="230" t="str">
        <f t="shared" si="35"/>
        <v/>
      </c>
      <c r="R150" s="233"/>
    </row>
    <row r="151" spans="1:18" ht="14.1" customHeight="1">
      <c r="A151" t="e">
        <f t="shared" si="28"/>
        <v>#VALUE!</v>
      </c>
      <c r="B151" t="e">
        <f t="shared" si="29"/>
        <v>#VALUE!</v>
      </c>
      <c r="C151" s="152">
        <f>'Sign-On'!A154</f>
        <v>144</v>
      </c>
      <c r="D151" s="142" t="str">
        <f>'Sign-On'!B154</f>
        <v/>
      </c>
      <c r="E151" s="142" t="str">
        <f>'Sign-On'!D154</f>
        <v/>
      </c>
      <c r="F151" s="142" t="str">
        <f>'Sign-On'!H154</f>
        <v/>
      </c>
      <c r="G151" s="143" t="str">
        <f>'Sign-On'!F154</f>
        <v/>
      </c>
      <c r="H151" s="153">
        <f t="shared" si="36"/>
        <v>0.47499999999999964</v>
      </c>
      <c r="I151" s="154"/>
      <c r="J151" s="155" t="str">
        <f t="shared" si="30"/>
        <v/>
      </c>
      <c r="K151" s="189" t="str">
        <f t="shared" si="31"/>
        <v/>
      </c>
      <c r="L151" s="155" t="str">
        <f t="shared" si="26"/>
        <v/>
      </c>
      <c r="M151" s="155" t="str">
        <f t="shared" si="32"/>
        <v/>
      </c>
      <c r="N151" s="189" t="str">
        <f t="shared" si="33"/>
        <v/>
      </c>
      <c r="O151" s="155" t="str">
        <f t="shared" si="27"/>
        <v/>
      </c>
      <c r="P151" s="145" t="str">
        <f t="shared" si="34"/>
        <v/>
      </c>
      <c r="Q151" s="230" t="str">
        <f t="shared" si="35"/>
        <v/>
      </c>
      <c r="R151" s="233"/>
    </row>
    <row r="152" spans="1:18" ht="14.1" customHeight="1">
      <c r="A152" t="e">
        <f t="shared" si="28"/>
        <v>#VALUE!</v>
      </c>
      <c r="B152" t="e">
        <f t="shared" si="29"/>
        <v>#VALUE!</v>
      </c>
      <c r="C152" s="152">
        <f>'Sign-On'!A155</f>
        <v>145</v>
      </c>
      <c r="D152" s="142" t="str">
        <f>'Sign-On'!B155</f>
        <v/>
      </c>
      <c r="E152" s="142" t="str">
        <f>'Sign-On'!D155</f>
        <v/>
      </c>
      <c r="F152" s="142" t="str">
        <f>'Sign-On'!H155</f>
        <v/>
      </c>
      <c r="G152" s="143" t="str">
        <f>'Sign-On'!F155</f>
        <v/>
      </c>
      <c r="H152" s="153">
        <f t="shared" si="36"/>
        <v>0.47569444444444409</v>
      </c>
      <c r="I152" s="154"/>
      <c r="J152" s="155" t="str">
        <f t="shared" si="30"/>
        <v/>
      </c>
      <c r="K152" s="189" t="str">
        <f t="shared" si="31"/>
        <v/>
      </c>
      <c r="L152" s="155" t="str">
        <f t="shared" si="26"/>
        <v/>
      </c>
      <c r="M152" s="155" t="str">
        <f t="shared" si="32"/>
        <v/>
      </c>
      <c r="N152" s="189" t="str">
        <f t="shared" si="33"/>
        <v/>
      </c>
      <c r="O152" s="155" t="str">
        <f t="shared" si="27"/>
        <v/>
      </c>
      <c r="P152" s="145" t="str">
        <f t="shared" si="34"/>
        <v/>
      </c>
      <c r="Q152" s="230" t="str">
        <f t="shared" si="35"/>
        <v/>
      </c>
      <c r="R152" s="233"/>
    </row>
    <row r="153" spans="1:18" ht="14.1" customHeight="1">
      <c r="A153" t="e">
        <f t="shared" si="28"/>
        <v>#VALUE!</v>
      </c>
      <c r="B153" t="e">
        <f t="shared" si="29"/>
        <v>#VALUE!</v>
      </c>
      <c r="C153" s="152">
        <f>'Sign-On'!A156</f>
        <v>146</v>
      </c>
      <c r="D153" s="142" t="str">
        <f>'Sign-On'!B156</f>
        <v/>
      </c>
      <c r="E153" s="142" t="str">
        <f>'Sign-On'!D156</f>
        <v/>
      </c>
      <c r="F153" s="142" t="str">
        <f>'Sign-On'!H156</f>
        <v/>
      </c>
      <c r="G153" s="143" t="str">
        <f>'Sign-On'!F156</f>
        <v/>
      </c>
      <c r="H153" s="153">
        <f t="shared" si="36"/>
        <v>0.47638888888888853</v>
      </c>
      <c r="I153" s="154"/>
      <c r="J153" s="155" t="str">
        <f t="shared" si="30"/>
        <v/>
      </c>
      <c r="K153" s="189" t="str">
        <f t="shared" si="31"/>
        <v/>
      </c>
      <c r="L153" s="155" t="str">
        <f t="shared" si="26"/>
        <v/>
      </c>
      <c r="M153" s="155" t="str">
        <f t="shared" si="32"/>
        <v/>
      </c>
      <c r="N153" s="189" t="str">
        <f t="shared" si="33"/>
        <v/>
      </c>
      <c r="O153" s="155" t="str">
        <f t="shared" si="27"/>
        <v/>
      </c>
      <c r="P153" s="145" t="str">
        <f t="shared" si="34"/>
        <v/>
      </c>
      <c r="Q153" s="230" t="str">
        <f t="shared" si="35"/>
        <v/>
      </c>
      <c r="R153" s="233"/>
    </row>
    <row r="154" spans="1:18" ht="14.1" customHeight="1">
      <c r="A154" t="e">
        <f t="shared" si="28"/>
        <v>#VALUE!</v>
      </c>
      <c r="B154" t="e">
        <f t="shared" si="29"/>
        <v>#VALUE!</v>
      </c>
      <c r="C154" s="152">
        <f>'Sign-On'!A157</f>
        <v>147</v>
      </c>
      <c r="D154" s="142" t="str">
        <f>'Sign-On'!B157</f>
        <v/>
      </c>
      <c r="E154" s="142" t="str">
        <f>'Sign-On'!D157</f>
        <v/>
      </c>
      <c r="F154" s="142" t="str">
        <f>'Sign-On'!H157</f>
        <v/>
      </c>
      <c r="G154" s="143" t="str">
        <f>'Sign-On'!F157</f>
        <v/>
      </c>
      <c r="H154" s="153">
        <f t="shared" si="36"/>
        <v>0.47708333333333297</v>
      </c>
      <c r="I154" s="154"/>
      <c r="J154" s="155" t="str">
        <f t="shared" si="30"/>
        <v/>
      </c>
      <c r="K154" s="189" t="str">
        <f t="shared" si="31"/>
        <v/>
      </c>
      <c r="L154" s="155" t="str">
        <f t="shared" si="26"/>
        <v/>
      </c>
      <c r="M154" s="155" t="str">
        <f t="shared" si="32"/>
        <v/>
      </c>
      <c r="N154" s="189" t="str">
        <f t="shared" si="33"/>
        <v/>
      </c>
      <c r="O154" s="155" t="str">
        <f t="shared" si="27"/>
        <v/>
      </c>
      <c r="P154" s="145" t="str">
        <f t="shared" si="34"/>
        <v/>
      </c>
      <c r="Q154" s="230" t="str">
        <f t="shared" si="35"/>
        <v/>
      </c>
      <c r="R154" s="233"/>
    </row>
    <row r="155" spans="1:18" ht="14.1" customHeight="1">
      <c r="A155" t="e">
        <f t="shared" si="28"/>
        <v>#VALUE!</v>
      </c>
      <c r="B155" t="e">
        <f t="shared" si="29"/>
        <v>#VALUE!</v>
      </c>
      <c r="C155" s="152">
        <f>'Sign-On'!A158</f>
        <v>148</v>
      </c>
      <c r="D155" s="142" t="str">
        <f>'Sign-On'!B158</f>
        <v/>
      </c>
      <c r="E155" s="142" t="str">
        <f>'Sign-On'!D158</f>
        <v/>
      </c>
      <c r="F155" s="142" t="str">
        <f>'Sign-On'!H158</f>
        <v/>
      </c>
      <c r="G155" s="143" t="str">
        <f>'Sign-On'!F158</f>
        <v/>
      </c>
      <c r="H155" s="153">
        <f t="shared" si="36"/>
        <v>0.47777777777777741</v>
      </c>
      <c r="I155" s="154"/>
      <c r="J155" s="155" t="str">
        <f t="shared" si="30"/>
        <v/>
      </c>
      <c r="K155" s="189" t="str">
        <f t="shared" si="31"/>
        <v/>
      </c>
      <c r="L155" s="155" t="str">
        <f t="shared" si="26"/>
        <v/>
      </c>
      <c r="M155" s="155" t="str">
        <f t="shared" si="32"/>
        <v/>
      </c>
      <c r="N155" s="189" t="str">
        <f t="shared" si="33"/>
        <v/>
      </c>
      <c r="O155" s="155" t="str">
        <f t="shared" si="27"/>
        <v/>
      </c>
      <c r="P155" s="145" t="str">
        <f t="shared" si="34"/>
        <v/>
      </c>
      <c r="Q155" s="230" t="str">
        <f t="shared" si="35"/>
        <v/>
      </c>
      <c r="R155" s="233"/>
    </row>
    <row r="156" spans="1:18" ht="14.1" customHeight="1">
      <c r="A156" t="e">
        <f t="shared" si="28"/>
        <v>#VALUE!</v>
      </c>
      <c r="B156" t="e">
        <f t="shared" si="29"/>
        <v>#VALUE!</v>
      </c>
      <c r="C156" s="152">
        <f>'Sign-On'!A159</f>
        <v>149</v>
      </c>
      <c r="D156" s="142" t="str">
        <f>'Sign-On'!B159</f>
        <v/>
      </c>
      <c r="E156" s="142" t="str">
        <f>'Sign-On'!D159</f>
        <v/>
      </c>
      <c r="F156" s="142" t="str">
        <f>'Sign-On'!H159</f>
        <v/>
      </c>
      <c r="G156" s="143" t="str">
        <f>'Sign-On'!F159</f>
        <v/>
      </c>
      <c r="H156" s="153">
        <f t="shared" si="36"/>
        <v>0.47847222222222185</v>
      </c>
      <c r="I156" s="154"/>
      <c r="J156" s="155" t="str">
        <f t="shared" si="30"/>
        <v/>
      </c>
      <c r="K156" s="189" t="str">
        <f t="shared" si="31"/>
        <v/>
      </c>
      <c r="L156" s="155" t="str">
        <f t="shared" si="26"/>
        <v/>
      </c>
      <c r="M156" s="155" t="str">
        <f t="shared" si="32"/>
        <v/>
      </c>
      <c r="N156" s="189" t="str">
        <f t="shared" si="33"/>
        <v/>
      </c>
      <c r="O156" s="155" t="str">
        <f t="shared" si="27"/>
        <v/>
      </c>
      <c r="P156" s="145" t="str">
        <f t="shared" si="34"/>
        <v/>
      </c>
      <c r="Q156" s="230" t="str">
        <f t="shared" si="35"/>
        <v/>
      </c>
      <c r="R156" s="233"/>
    </row>
    <row r="157" spans="1:18" ht="14.1" customHeight="1">
      <c r="A157" t="e">
        <f t="shared" si="28"/>
        <v>#VALUE!</v>
      </c>
      <c r="B157" t="e">
        <f t="shared" si="29"/>
        <v>#VALUE!</v>
      </c>
      <c r="C157" s="157">
        <f>'Sign-On'!A160</f>
        <v>150</v>
      </c>
      <c r="D157" s="158" t="str">
        <f>'Sign-On'!B160</f>
        <v/>
      </c>
      <c r="E157" s="158" t="str">
        <f>'Sign-On'!D160</f>
        <v/>
      </c>
      <c r="F157" s="158" t="str">
        <f>'Sign-On'!H160</f>
        <v/>
      </c>
      <c r="G157" s="159" t="str">
        <f>'Sign-On'!F160</f>
        <v/>
      </c>
      <c r="H157" s="160">
        <f t="shared" si="36"/>
        <v>0.4791666666666663</v>
      </c>
      <c r="I157" s="154"/>
      <c r="J157" s="161" t="str">
        <f t="shared" si="30"/>
        <v/>
      </c>
      <c r="K157" s="189" t="str">
        <f t="shared" si="31"/>
        <v/>
      </c>
      <c r="L157" s="155" t="str">
        <f t="shared" si="26"/>
        <v/>
      </c>
      <c r="M157" s="161" t="str">
        <f t="shared" si="32"/>
        <v/>
      </c>
      <c r="N157" s="189" t="str">
        <f t="shared" si="33"/>
        <v/>
      </c>
      <c r="O157" s="155" t="str">
        <f t="shared" si="27"/>
        <v/>
      </c>
      <c r="P157" s="162" t="str">
        <f t="shared" si="34"/>
        <v/>
      </c>
      <c r="Q157" s="234" t="str">
        <f t="shared" si="35"/>
        <v/>
      </c>
      <c r="R157" s="235"/>
    </row>
    <row r="158" spans="1:18">
      <c r="A158" t="e">
        <f t="shared" si="28"/>
        <v>#VALUE!</v>
      </c>
      <c r="B158" t="e">
        <f t="shared" si="29"/>
        <v>#VALUE!</v>
      </c>
      <c r="C158" s="152">
        <f>'Sign-On'!A161</f>
        <v>151</v>
      </c>
      <c r="D158" s="142" t="str">
        <f>'Sign-On'!B161</f>
        <v/>
      </c>
      <c r="E158" s="142" t="str">
        <f>'Sign-On'!D161</f>
        <v/>
      </c>
      <c r="F158" s="142" t="str">
        <f>'Sign-On'!H161</f>
        <v/>
      </c>
      <c r="G158" s="143" t="str">
        <f>'Sign-On'!F161</f>
        <v/>
      </c>
      <c r="H158" s="153">
        <f t="shared" si="36"/>
        <v>0.47986111111111074</v>
      </c>
      <c r="I158" s="154"/>
      <c r="J158" s="155" t="str">
        <f t="shared" ref="J158:J177" si="37">IF(I158="","",I158-H158)</f>
        <v/>
      </c>
      <c r="K158" s="189" t="str">
        <f t="shared" si="31"/>
        <v/>
      </c>
      <c r="L158" s="155" t="str">
        <f t="shared" si="26"/>
        <v/>
      </c>
      <c r="M158" s="155" t="str">
        <f t="shared" ref="M158:M177" si="38">IF(OR(L158="",J158=""),"",J158-L158)</f>
        <v/>
      </c>
      <c r="N158" s="189" t="str">
        <f t="shared" si="33"/>
        <v/>
      </c>
      <c r="O158" s="155" t="str">
        <f t="shared" si="27"/>
        <v/>
      </c>
      <c r="P158" s="145" t="str">
        <f t="shared" ref="P158:P177" si="39">IF(OR(O158="",J158=""),"",IF(J158&gt;O158,"-","+"))</f>
        <v/>
      </c>
      <c r="Q158" s="230" t="str">
        <f t="shared" ref="Q158:Q177" si="40">IF(OR(O158="",J158=""),"",IF(J158&gt;O158,J158-O158,O158-J158))</f>
        <v/>
      </c>
      <c r="R158" s="228"/>
    </row>
    <row r="159" spans="1:18">
      <c r="A159" t="e">
        <f t="shared" si="28"/>
        <v>#VALUE!</v>
      </c>
      <c r="B159" t="e">
        <f t="shared" si="29"/>
        <v>#VALUE!</v>
      </c>
      <c r="C159" s="152">
        <f>'Sign-On'!A162</f>
        <v>152</v>
      </c>
      <c r="D159" s="142" t="str">
        <f>'Sign-On'!B162</f>
        <v/>
      </c>
      <c r="E159" s="142" t="str">
        <f>'Sign-On'!D162</f>
        <v/>
      </c>
      <c r="F159" s="142" t="str">
        <f>'Sign-On'!H162</f>
        <v/>
      </c>
      <c r="G159" s="143" t="str">
        <f>'Sign-On'!F162</f>
        <v/>
      </c>
      <c r="H159" s="153">
        <f t="shared" si="36"/>
        <v>0.48055555555555518</v>
      </c>
      <c r="I159" s="154"/>
      <c r="J159" s="155" t="str">
        <f t="shared" si="37"/>
        <v/>
      </c>
      <c r="K159" s="189" t="str">
        <f t="shared" si="31"/>
        <v/>
      </c>
      <c r="L159" s="155" t="str">
        <f t="shared" si="26"/>
        <v/>
      </c>
      <c r="M159" s="155" t="str">
        <f t="shared" si="38"/>
        <v/>
      </c>
      <c r="N159" s="189" t="str">
        <f t="shared" si="33"/>
        <v/>
      </c>
      <c r="O159" s="155" t="str">
        <f t="shared" si="27"/>
        <v/>
      </c>
      <c r="P159" s="145" t="str">
        <f t="shared" si="39"/>
        <v/>
      </c>
      <c r="Q159" s="230" t="str">
        <f t="shared" si="40"/>
        <v/>
      </c>
      <c r="R159" s="228"/>
    </row>
    <row r="160" spans="1:18">
      <c r="A160" t="e">
        <f t="shared" si="28"/>
        <v>#VALUE!</v>
      </c>
      <c r="B160" t="e">
        <f t="shared" si="29"/>
        <v>#VALUE!</v>
      </c>
      <c r="C160" s="152">
        <f>'Sign-On'!A163</f>
        <v>153</v>
      </c>
      <c r="D160" s="142" t="str">
        <f>'Sign-On'!B163</f>
        <v/>
      </c>
      <c r="E160" s="142" t="str">
        <f>'Sign-On'!D163</f>
        <v/>
      </c>
      <c r="F160" s="142" t="str">
        <f>'Sign-On'!H163</f>
        <v/>
      </c>
      <c r="G160" s="143" t="str">
        <f>'Sign-On'!F163</f>
        <v/>
      </c>
      <c r="H160" s="153">
        <f t="shared" si="36"/>
        <v>0.48124999999999962</v>
      </c>
      <c r="I160" s="154"/>
      <c r="J160" s="155" t="str">
        <f t="shared" si="37"/>
        <v/>
      </c>
      <c r="K160" s="189" t="str">
        <f t="shared" si="31"/>
        <v/>
      </c>
      <c r="L160" s="155" t="str">
        <f t="shared" si="26"/>
        <v/>
      </c>
      <c r="M160" s="155" t="str">
        <f t="shared" si="38"/>
        <v/>
      </c>
      <c r="N160" s="189" t="str">
        <f t="shared" si="33"/>
        <v/>
      </c>
      <c r="O160" s="155" t="str">
        <f t="shared" si="27"/>
        <v/>
      </c>
      <c r="P160" s="145" t="str">
        <f t="shared" si="39"/>
        <v/>
      </c>
      <c r="Q160" s="230" t="str">
        <f t="shared" si="40"/>
        <v/>
      </c>
      <c r="R160" s="228"/>
    </row>
    <row r="161" spans="1:18">
      <c r="A161" t="e">
        <f t="shared" si="28"/>
        <v>#VALUE!</v>
      </c>
      <c r="B161" t="e">
        <f t="shared" si="29"/>
        <v>#VALUE!</v>
      </c>
      <c r="C161" s="152">
        <f>'Sign-On'!A164</f>
        <v>154</v>
      </c>
      <c r="D161" s="142" t="str">
        <f>'Sign-On'!B164</f>
        <v/>
      </c>
      <c r="E161" s="142" t="str">
        <f>'Sign-On'!D164</f>
        <v/>
      </c>
      <c r="F161" s="142" t="str">
        <f>'Sign-On'!H164</f>
        <v/>
      </c>
      <c r="G161" s="143" t="str">
        <f>'Sign-On'!F164</f>
        <v/>
      </c>
      <c r="H161" s="153">
        <f t="shared" si="36"/>
        <v>0.48194444444444406</v>
      </c>
      <c r="I161" s="154"/>
      <c r="J161" s="155" t="str">
        <f t="shared" si="37"/>
        <v/>
      </c>
      <c r="K161" s="189" t="str">
        <f t="shared" si="31"/>
        <v/>
      </c>
      <c r="L161" s="155" t="str">
        <f t="shared" si="26"/>
        <v/>
      </c>
      <c r="M161" s="155" t="str">
        <f t="shared" si="38"/>
        <v/>
      </c>
      <c r="N161" s="189" t="str">
        <f t="shared" si="33"/>
        <v/>
      </c>
      <c r="O161" s="155" t="str">
        <f t="shared" si="27"/>
        <v/>
      </c>
      <c r="P161" s="145" t="str">
        <f t="shared" si="39"/>
        <v/>
      </c>
      <c r="Q161" s="230" t="str">
        <f t="shared" si="40"/>
        <v/>
      </c>
      <c r="R161" s="228"/>
    </row>
    <row r="162" spans="1:18">
      <c r="A162" t="e">
        <f t="shared" si="28"/>
        <v>#VALUE!</v>
      </c>
      <c r="B162" t="e">
        <f t="shared" si="29"/>
        <v>#VALUE!</v>
      </c>
      <c r="C162" s="152">
        <f>'Sign-On'!A165</f>
        <v>155</v>
      </c>
      <c r="D162" s="142" t="str">
        <f>'Sign-On'!B165</f>
        <v/>
      </c>
      <c r="E162" s="142" t="str">
        <f>'Sign-On'!D165</f>
        <v/>
      </c>
      <c r="F162" s="142" t="str">
        <f>'Sign-On'!H165</f>
        <v/>
      </c>
      <c r="G162" s="143" t="str">
        <f>'Sign-On'!F165</f>
        <v/>
      </c>
      <c r="H162" s="153">
        <f t="shared" si="36"/>
        <v>0.48263888888888851</v>
      </c>
      <c r="I162" s="154"/>
      <c r="J162" s="155" t="str">
        <f t="shared" si="37"/>
        <v/>
      </c>
      <c r="K162" s="189" t="str">
        <f t="shared" si="31"/>
        <v/>
      </c>
      <c r="L162" s="155" t="str">
        <f t="shared" si="26"/>
        <v/>
      </c>
      <c r="M162" s="155" t="str">
        <f t="shared" si="38"/>
        <v/>
      </c>
      <c r="N162" s="189" t="str">
        <f t="shared" si="33"/>
        <v/>
      </c>
      <c r="O162" s="155" t="str">
        <f t="shared" si="27"/>
        <v/>
      </c>
      <c r="P162" s="145" t="str">
        <f t="shared" si="39"/>
        <v/>
      </c>
      <c r="Q162" s="230" t="str">
        <f t="shared" si="40"/>
        <v/>
      </c>
      <c r="R162" s="228"/>
    </row>
    <row r="163" spans="1:18">
      <c r="A163" t="e">
        <f t="shared" si="28"/>
        <v>#VALUE!</v>
      </c>
      <c r="B163" t="e">
        <f t="shared" si="29"/>
        <v>#VALUE!</v>
      </c>
      <c r="C163" s="152">
        <f>'Sign-On'!A166</f>
        <v>156</v>
      </c>
      <c r="D163" s="142" t="str">
        <f>'Sign-On'!B166</f>
        <v/>
      </c>
      <c r="E163" s="142" t="str">
        <f>'Sign-On'!D166</f>
        <v/>
      </c>
      <c r="F163" s="142" t="str">
        <f>'Sign-On'!H166</f>
        <v/>
      </c>
      <c r="G163" s="143" t="str">
        <f>'Sign-On'!F166</f>
        <v/>
      </c>
      <c r="H163" s="153">
        <f t="shared" si="36"/>
        <v>0.48333333333333295</v>
      </c>
      <c r="I163" s="154"/>
      <c r="J163" s="155" t="str">
        <f t="shared" si="37"/>
        <v/>
      </c>
      <c r="K163" s="189" t="str">
        <f t="shared" si="31"/>
        <v/>
      </c>
      <c r="L163" s="155" t="str">
        <f t="shared" si="26"/>
        <v/>
      </c>
      <c r="M163" s="155" t="str">
        <f t="shared" si="38"/>
        <v/>
      </c>
      <c r="N163" s="189" t="str">
        <f t="shared" si="33"/>
        <v/>
      </c>
      <c r="O163" s="155" t="str">
        <f t="shared" si="27"/>
        <v/>
      </c>
      <c r="P163" s="145" t="str">
        <f t="shared" si="39"/>
        <v/>
      </c>
      <c r="Q163" s="230" t="str">
        <f t="shared" si="40"/>
        <v/>
      </c>
      <c r="R163" s="228"/>
    </row>
    <row r="164" spans="1:18">
      <c r="A164" t="e">
        <f t="shared" si="28"/>
        <v>#VALUE!</v>
      </c>
      <c r="B164" t="e">
        <f t="shared" si="29"/>
        <v>#VALUE!</v>
      </c>
      <c r="C164" s="152">
        <f>'Sign-On'!A167</f>
        <v>157</v>
      </c>
      <c r="D164" s="142" t="str">
        <f>'Sign-On'!B167</f>
        <v/>
      </c>
      <c r="E164" s="142" t="str">
        <f>'Sign-On'!D167</f>
        <v/>
      </c>
      <c r="F164" s="142" t="str">
        <f>'Sign-On'!H167</f>
        <v/>
      </c>
      <c r="G164" s="143" t="str">
        <f>'Sign-On'!F167</f>
        <v/>
      </c>
      <c r="H164" s="153">
        <f t="shared" si="36"/>
        <v>0.48402777777777739</v>
      </c>
      <c r="I164" s="154"/>
      <c r="J164" s="155" t="str">
        <f t="shared" si="37"/>
        <v/>
      </c>
      <c r="K164" s="189" t="str">
        <f t="shared" si="31"/>
        <v/>
      </c>
      <c r="L164" s="155" t="str">
        <f t="shared" si="26"/>
        <v/>
      </c>
      <c r="M164" s="155" t="str">
        <f t="shared" si="38"/>
        <v/>
      </c>
      <c r="N164" s="189" t="str">
        <f t="shared" si="33"/>
        <v/>
      </c>
      <c r="O164" s="155" t="str">
        <f t="shared" si="27"/>
        <v/>
      </c>
      <c r="P164" s="145" t="str">
        <f t="shared" si="39"/>
        <v/>
      </c>
      <c r="Q164" s="230" t="str">
        <f t="shared" si="40"/>
        <v/>
      </c>
      <c r="R164" s="228"/>
    </row>
    <row r="165" spans="1:18">
      <c r="A165" t="e">
        <f t="shared" si="28"/>
        <v>#VALUE!</v>
      </c>
      <c r="B165" t="e">
        <f t="shared" si="29"/>
        <v>#VALUE!</v>
      </c>
      <c r="C165" s="152">
        <f>'Sign-On'!A168</f>
        <v>158</v>
      </c>
      <c r="D165" s="142" t="str">
        <f>'Sign-On'!B168</f>
        <v/>
      </c>
      <c r="E165" s="142" t="str">
        <f>'Sign-On'!D168</f>
        <v/>
      </c>
      <c r="F165" s="142" t="str">
        <f>'Sign-On'!H168</f>
        <v/>
      </c>
      <c r="G165" s="143" t="str">
        <f>'Sign-On'!F168</f>
        <v/>
      </c>
      <c r="H165" s="153">
        <f t="shared" si="36"/>
        <v>0.48472222222222183</v>
      </c>
      <c r="I165" s="154"/>
      <c r="J165" s="155" t="str">
        <f t="shared" si="37"/>
        <v/>
      </c>
      <c r="K165" s="189" t="str">
        <f t="shared" si="31"/>
        <v/>
      </c>
      <c r="L165" s="155" t="str">
        <f t="shared" si="26"/>
        <v/>
      </c>
      <c r="M165" s="155" t="str">
        <f t="shared" si="38"/>
        <v/>
      </c>
      <c r="N165" s="189" t="str">
        <f t="shared" si="33"/>
        <v/>
      </c>
      <c r="O165" s="155" t="str">
        <f t="shared" si="27"/>
        <v/>
      </c>
      <c r="P165" s="145" t="str">
        <f t="shared" si="39"/>
        <v/>
      </c>
      <c r="Q165" s="230" t="str">
        <f t="shared" si="40"/>
        <v/>
      </c>
      <c r="R165" s="228"/>
    </row>
    <row r="166" spans="1:18">
      <c r="A166" t="e">
        <f t="shared" si="28"/>
        <v>#VALUE!</v>
      </c>
      <c r="B166" t="e">
        <f t="shared" si="29"/>
        <v>#VALUE!</v>
      </c>
      <c r="C166" s="152">
        <f>'Sign-On'!A169</f>
        <v>159</v>
      </c>
      <c r="D166" s="142" t="str">
        <f>'Sign-On'!B169</f>
        <v/>
      </c>
      <c r="E166" s="142" t="str">
        <f>'Sign-On'!D169</f>
        <v/>
      </c>
      <c r="F166" s="142" t="str">
        <f>'Sign-On'!H169</f>
        <v/>
      </c>
      <c r="G166" s="143" t="str">
        <f>'Sign-On'!F169</f>
        <v/>
      </c>
      <c r="H166" s="153">
        <f t="shared" si="36"/>
        <v>0.48541666666666627</v>
      </c>
      <c r="I166" s="154"/>
      <c r="J166" s="155" t="str">
        <f t="shared" si="37"/>
        <v/>
      </c>
      <c r="K166" s="189" t="str">
        <f t="shared" si="31"/>
        <v/>
      </c>
      <c r="L166" s="155" t="str">
        <f t="shared" si="26"/>
        <v/>
      </c>
      <c r="M166" s="155" t="str">
        <f t="shared" si="38"/>
        <v/>
      </c>
      <c r="N166" s="189" t="str">
        <f t="shared" si="33"/>
        <v/>
      </c>
      <c r="O166" s="155" t="str">
        <f t="shared" si="27"/>
        <v/>
      </c>
      <c r="P166" s="145" t="str">
        <f t="shared" si="39"/>
        <v/>
      </c>
      <c r="Q166" s="230" t="str">
        <f t="shared" si="40"/>
        <v/>
      </c>
      <c r="R166" s="228"/>
    </row>
    <row r="167" spans="1:18">
      <c r="A167" t="e">
        <f t="shared" si="28"/>
        <v>#VALUE!</v>
      </c>
      <c r="B167" t="e">
        <f t="shared" si="29"/>
        <v>#VALUE!</v>
      </c>
      <c r="C167" s="152">
        <f>'Sign-On'!A170</f>
        <v>160</v>
      </c>
      <c r="D167" s="142" t="str">
        <f>'Sign-On'!B170</f>
        <v/>
      </c>
      <c r="E167" s="142" t="str">
        <f>'Sign-On'!D170</f>
        <v/>
      </c>
      <c r="F167" s="142" t="str">
        <f>'Sign-On'!H170</f>
        <v/>
      </c>
      <c r="G167" s="143" t="str">
        <f>'Sign-On'!F170</f>
        <v/>
      </c>
      <c r="H167" s="153">
        <f t="shared" si="36"/>
        <v>0.48611111111111072</v>
      </c>
      <c r="I167" s="154"/>
      <c r="J167" s="155" t="str">
        <f t="shared" si="37"/>
        <v/>
      </c>
      <c r="K167" s="189" t="str">
        <f t="shared" si="31"/>
        <v/>
      </c>
      <c r="L167" s="155" t="str">
        <f t="shared" si="26"/>
        <v/>
      </c>
      <c r="M167" s="155" t="str">
        <f t="shared" si="38"/>
        <v/>
      </c>
      <c r="N167" s="189" t="str">
        <f t="shared" si="33"/>
        <v/>
      </c>
      <c r="O167" s="155" t="str">
        <f t="shared" si="27"/>
        <v/>
      </c>
      <c r="P167" s="145" t="str">
        <f t="shared" si="39"/>
        <v/>
      </c>
      <c r="Q167" s="230" t="str">
        <f t="shared" si="40"/>
        <v/>
      </c>
      <c r="R167" s="228"/>
    </row>
    <row r="168" spans="1:18">
      <c r="A168" t="e">
        <f t="shared" si="28"/>
        <v>#VALUE!</v>
      </c>
      <c r="B168" t="e">
        <f t="shared" si="29"/>
        <v>#VALUE!</v>
      </c>
      <c r="C168" s="152">
        <f>'Sign-On'!A171</f>
        <v>161</v>
      </c>
      <c r="D168" s="142" t="str">
        <f>'Sign-On'!B171</f>
        <v/>
      </c>
      <c r="E168" s="142" t="str">
        <f>'Sign-On'!D171</f>
        <v/>
      </c>
      <c r="F168" s="142" t="str">
        <f>'Sign-On'!H171</f>
        <v/>
      </c>
      <c r="G168" s="143" t="str">
        <f>'Sign-On'!F171</f>
        <v/>
      </c>
      <c r="H168" s="153">
        <f t="shared" si="36"/>
        <v>0.48680555555555516</v>
      </c>
      <c r="I168" s="154"/>
      <c r="J168" s="155" t="str">
        <f t="shared" si="37"/>
        <v/>
      </c>
      <c r="K168" s="189" t="str">
        <f t="shared" si="31"/>
        <v/>
      </c>
      <c r="L168" s="155" t="str">
        <f t="shared" ref="L168:L207" si="41">IF(ISERROR(VLOOKUP(C168,Entrants,16,FALSE)),"",VLOOKUP(C168,Entrants,16,FALSE))</f>
        <v/>
      </c>
      <c r="M168" s="155" t="str">
        <f t="shared" si="38"/>
        <v/>
      </c>
      <c r="N168" s="189" t="str">
        <f t="shared" si="33"/>
        <v/>
      </c>
      <c r="O168" s="155" t="str">
        <f t="shared" ref="O168:O207" si="42">IF(ISERROR(VLOOKUP(C168,Entrants,20,FALSE)),"",VLOOKUP(C168,Entrants,20,FALSE))</f>
        <v/>
      </c>
      <c r="P168" s="145" t="str">
        <f t="shared" si="39"/>
        <v/>
      </c>
      <c r="Q168" s="230" t="str">
        <f t="shared" si="40"/>
        <v/>
      </c>
      <c r="R168" s="228"/>
    </row>
    <row r="169" spans="1:18">
      <c r="A169" t="e">
        <f t="shared" si="28"/>
        <v>#VALUE!</v>
      </c>
      <c r="B169" t="e">
        <f t="shared" si="29"/>
        <v>#VALUE!</v>
      </c>
      <c r="C169" s="152">
        <f>'Sign-On'!A172</f>
        <v>162</v>
      </c>
      <c r="D169" s="142" t="str">
        <f>'Sign-On'!B172</f>
        <v/>
      </c>
      <c r="E169" s="142" t="str">
        <f>'Sign-On'!D172</f>
        <v/>
      </c>
      <c r="F169" s="142" t="str">
        <f>'Sign-On'!H172</f>
        <v/>
      </c>
      <c r="G169" s="143" t="str">
        <f>'Sign-On'!F172</f>
        <v/>
      </c>
      <c r="H169" s="153">
        <f t="shared" si="36"/>
        <v>0.4874999999999996</v>
      </c>
      <c r="I169" s="154"/>
      <c r="J169" s="155" t="str">
        <f t="shared" si="37"/>
        <v/>
      </c>
      <c r="K169" s="189" t="str">
        <f t="shared" si="31"/>
        <v/>
      </c>
      <c r="L169" s="155" t="str">
        <f t="shared" si="41"/>
        <v/>
      </c>
      <c r="M169" s="155" t="str">
        <f t="shared" si="38"/>
        <v/>
      </c>
      <c r="N169" s="189" t="str">
        <f t="shared" si="33"/>
        <v/>
      </c>
      <c r="O169" s="155" t="str">
        <f t="shared" si="42"/>
        <v/>
      </c>
      <c r="P169" s="145" t="str">
        <f t="shared" si="39"/>
        <v/>
      </c>
      <c r="Q169" s="230" t="str">
        <f t="shared" si="40"/>
        <v/>
      </c>
      <c r="R169" s="228"/>
    </row>
    <row r="170" spans="1:18">
      <c r="A170" t="e">
        <f t="shared" si="28"/>
        <v>#VALUE!</v>
      </c>
      <c r="B170" t="e">
        <f t="shared" si="29"/>
        <v>#VALUE!</v>
      </c>
      <c r="C170" s="152">
        <f>'Sign-On'!A173</f>
        <v>163</v>
      </c>
      <c r="D170" s="142" t="str">
        <f>'Sign-On'!B173</f>
        <v/>
      </c>
      <c r="E170" s="142" t="str">
        <f>'Sign-On'!D173</f>
        <v/>
      </c>
      <c r="F170" s="142" t="str">
        <f>'Sign-On'!H173</f>
        <v/>
      </c>
      <c r="G170" s="143" t="str">
        <f>'Sign-On'!F173</f>
        <v/>
      </c>
      <c r="H170" s="153">
        <f t="shared" si="36"/>
        <v>0.48819444444444404</v>
      </c>
      <c r="I170" s="154"/>
      <c r="J170" s="155" t="str">
        <f t="shared" si="37"/>
        <v/>
      </c>
      <c r="K170" s="189" t="str">
        <f t="shared" si="31"/>
        <v/>
      </c>
      <c r="L170" s="155" t="str">
        <f t="shared" si="41"/>
        <v/>
      </c>
      <c r="M170" s="155" t="str">
        <f t="shared" si="38"/>
        <v/>
      </c>
      <c r="N170" s="189" t="str">
        <f t="shared" si="33"/>
        <v/>
      </c>
      <c r="O170" s="155" t="str">
        <f t="shared" si="42"/>
        <v/>
      </c>
      <c r="P170" s="145" t="str">
        <f t="shared" si="39"/>
        <v/>
      </c>
      <c r="Q170" s="230" t="str">
        <f t="shared" si="40"/>
        <v/>
      </c>
      <c r="R170" s="228"/>
    </row>
    <row r="171" spans="1:18">
      <c r="A171" t="e">
        <f t="shared" si="28"/>
        <v>#VALUE!</v>
      </c>
      <c r="B171" t="e">
        <f t="shared" si="29"/>
        <v>#VALUE!</v>
      </c>
      <c r="C171" s="152">
        <f>'Sign-On'!A174</f>
        <v>164</v>
      </c>
      <c r="D171" s="142" t="str">
        <f>'Sign-On'!B174</f>
        <v/>
      </c>
      <c r="E171" s="142" t="str">
        <f>'Sign-On'!D174</f>
        <v/>
      </c>
      <c r="F171" s="142" t="str">
        <f>'Sign-On'!H174</f>
        <v/>
      </c>
      <c r="G171" s="143" t="str">
        <f>'Sign-On'!F174</f>
        <v/>
      </c>
      <c r="H171" s="153">
        <f t="shared" si="36"/>
        <v>0.48888888888888848</v>
      </c>
      <c r="I171" s="154"/>
      <c r="J171" s="155" t="str">
        <f t="shared" si="37"/>
        <v/>
      </c>
      <c r="K171" s="189" t="str">
        <f t="shared" si="31"/>
        <v/>
      </c>
      <c r="L171" s="155" t="str">
        <f t="shared" si="41"/>
        <v/>
      </c>
      <c r="M171" s="155" t="str">
        <f t="shared" si="38"/>
        <v/>
      </c>
      <c r="N171" s="189" t="str">
        <f t="shared" si="33"/>
        <v/>
      </c>
      <c r="O171" s="155" t="str">
        <f t="shared" si="42"/>
        <v/>
      </c>
      <c r="P171" s="145" t="str">
        <f t="shared" si="39"/>
        <v/>
      </c>
      <c r="Q171" s="230" t="str">
        <f t="shared" si="40"/>
        <v/>
      </c>
      <c r="R171" s="228"/>
    </row>
    <row r="172" spans="1:18">
      <c r="A172" t="e">
        <f t="shared" si="28"/>
        <v>#VALUE!</v>
      </c>
      <c r="B172" t="e">
        <f t="shared" si="29"/>
        <v>#VALUE!</v>
      </c>
      <c r="C172" s="152">
        <f>'Sign-On'!A175</f>
        <v>165</v>
      </c>
      <c r="D172" s="142" t="str">
        <f>'Sign-On'!B175</f>
        <v/>
      </c>
      <c r="E172" s="142" t="str">
        <f>'Sign-On'!D175</f>
        <v/>
      </c>
      <c r="F172" s="142" t="str">
        <f>'Sign-On'!H175</f>
        <v/>
      </c>
      <c r="G172" s="143" t="str">
        <f>'Sign-On'!F175</f>
        <v/>
      </c>
      <c r="H172" s="153">
        <f t="shared" si="36"/>
        <v>0.48958333333333293</v>
      </c>
      <c r="I172" s="154"/>
      <c r="J172" s="155" t="str">
        <f t="shared" si="37"/>
        <v/>
      </c>
      <c r="K172" s="189" t="str">
        <f t="shared" si="31"/>
        <v/>
      </c>
      <c r="L172" s="155" t="str">
        <f t="shared" si="41"/>
        <v/>
      </c>
      <c r="M172" s="155" t="str">
        <f t="shared" si="38"/>
        <v/>
      </c>
      <c r="N172" s="189" t="str">
        <f t="shared" si="33"/>
        <v/>
      </c>
      <c r="O172" s="155" t="str">
        <f t="shared" si="42"/>
        <v/>
      </c>
      <c r="P172" s="145" t="str">
        <f t="shared" si="39"/>
        <v/>
      </c>
      <c r="Q172" s="230" t="str">
        <f t="shared" si="40"/>
        <v/>
      </c>
      <c r="R172" s="228"/>
    </row>
    <row r="173" spans="1:18">
      <c r="A173" t="e">
        <f t="shared" si="28"/>
        <v>#VALUE!</v>
      </c>
      <c r="B173" t="e">
        <f t="shared" si="29"/>
        <v>#VALUE!</v>
      </c>
      <c r="C173" s="152">
        <f>'Sign-On'!A176</f>
        <v>166</v>
      </c>
      <c r="D173" s="142" t="str">
        <f>'Sign-On'!B176</f>
        <v/>
      </c>
      <c r="E173" s="142" t="str">
        <f>'Sign-On'!D176</f>
        <v/>
      </c>
      <c r="F173" s="142" t="str">
        <f>'Sign-On'!H176</f>
        <v/>
      </c>
      <c r="G173" s="143" t="str">
        <f>'Sign-On'!F176</f>
        <v/>
      </c>
      <c r="H173" s="153">
        <f t="shared" si="36"/>
        <v>0.49027777777777737</v>
      </c>
      <c r="I173" s="154"/>
      <c r="J173" s="155" t="str">
        <f t="shared" si="37"/>
        <v/>
      </c>
      <c r="K173" s="189" t="str">
        <f t="shared" si="31"/>
        <v/>
      </c>
      <c r="L173" s="155" t="str">
        <f t="shared" si="41"/>
        <v/>
      </c>
      <c r="M173" s="155" t="str">
        <f t="shared" si="38"/>
        <v/>
      </c>
      <c r="N173" s="189" t="str">
        <f t="shared" si="33"/>
        <v/>
      </c>
      <c r="O173" s="155" t="str">
        <f t="shared" si="42"/>
        <v/>
      </c>
      <c r="P173" s="145" t="str">
        <f t="shared" si="39"/>
        <v/>
      </c>
      <c r="Q173" s="230" t="str">
        <f t="shared" si="40"/>
        <v/>
      </c>
      <c r="R173" s="228"/>
    </row>
    <row r="174" spans="1:18">
      <c r="A174" t="e">
        <f t="shared" si="28"/>
        <v>#VALUE!</v>
      </c>
      <c r="B174" t="e">
        <f t="shared" si="29"/>
        <v>#VALUE!</v>
      </c>
      <c r="C174" s="152">
        <f>'Sign-On'!A177</f>
        <v>167</v>
      </c>
      <c r="D174" s="142" t="str">
        <f>'Sign-On'!B177</f>
        <v/>
      </c>
      <c r="E174" s="142" t="str">
        <f>'Sign-On'!D177</f>
        <v/>
      </c>
      <c r="F174" s="142" t="str">
        <f>'Sign-On'!H177</f>
        <v/>
      </c>
      <c r="G174" s="143" t="str">
        <f>'Sign-On'!F177</f>
        <v/>
      </c>
      <c r="H174" s="153">
        <f t="shared" si="36"/>
        <v>0.49097222222222181</v>
      </c>
      <c r="I174" s="154"/>
      <c r="J174" s="155" t="str">
        <f t="shared" si="37"/>
        <v/>
      </c>
      <c r="K174" s="189" t="str">
        <f t="shared" si="31"/>
        <v/>
      </c>
      <c r="L174" s="155" t="str">
        <f t="shared" si="41"/>
        <v/>
      </c>
      <c r="M174" s="155" t="str">
        <f t="shared" si="38"/>
        <v/>
      </c>
      <c r="N174" s="189" t="str">
        <f t="shared" si="33"/>
        <v/>
      </c>
      <c r="O174" s="155" t="str">
        <f t="shared" si="42"/>
        <v/>
      </c>
      <c r="P174" s="145" t="str">
        <f t="shared" si="39"/>
        <v/>
      </c>
      <c r="Q174" s="230" t="str">
        <f t="shared" si="40"/>
        <v/>
      </c>
      <c r="R174" s="228"/>
    </row>
    <row r="175" spans="1:18">
      <c r="A175" t="e">
        <f t="shared" si="28"/>
        <v>#VALUE!</v>
      </c>
      <c r="B175" t="e">
        <f t="shared" si="29"/>
        <v>#VALUE!</v>
      </c>
      <c r="C175" s="152">
        <f>'Sign-On'!A178</f>
        <v>168</v>
      </c>
      <c r="D175" s="142" t="str">
        <f>'Sign-On'!B178</f>
        <v/>
      </c>
      <c r="E175" s="142" t="str">
        <f>'Sign-On'!D178</f>
        <v/>
      </c>
      <c r="F175" s="142" t="str">
        <f>'Sign-On'!H178</f>
        <v/>
      </c>
      <c r="G175" s="143" t="str">
        <f>'Sign-On'!F178</f>
        <v/>
      </c>
      <c r="H175" s="153">
        <f t="shared" si="36"/>
        <v>0.49166666666666625</v>
      </c>
      <c r="I175" s="154"/>
      <c r="J175" s="155" t="str">
        <f t="shared" si="37"/>
        <v/>
      </c>
      <c r="K175" s="189" t="str">
        <f t="shared" si="31"/>
        <v/>
      </c>
      <c r="L175" s="155" t="str">
        <f t="shared" si="41"/>
        <v/>
      </c>
      <c r="M175" s="155" t="str">
        <f t="shared" si="38"/>
        <v/>
      </c>
      <c r="N175" s="189" t="str">
        <f t="shared" si="33"/>
        <v/>
      </c>
      <c r="O175" s="155" t="str">
        <f t="shared" si="42"/>
        <v/>
      </c>
      <c r="P175" s="145" t="str">
        <f t="shared" si="39"/>
        <v/>
      </c>
      <c r="Q175" s="230" t="str">
        <f t="shared" si="40"/>
        <v/>
      </c>
      <c r="R175" s="228"/>
    </row>
    <row r="176" spans="1:18">
      <c r="A176" t="e">
        <f t="shared" si="28"/>
        <v>#VALUE!</v>
      </c>
      <c r="B176" t="e">
        <f t="shared" si="29"/>
        <v>#VALUE!</v>
      </c>
      <c r="C176" s="152">
        <f>'Sign-On'!A179</f>
        <v>169</v>
      </c>
      <c r="D176" s="142" t="str">
        <f>'Sign-On'!B179</f>
        <v/>
      </c>
      <c r="E176" s="142" t="str">
        <f>'Sign-On'!D179</f>
        <v/>
      </c>
      <c r="F176" s="142" t="str">
        <f>'Sign-On'!H179</f>
        <v/>
      </c>
      <c r="G176" s="143" t="str">
        <f>'Sign-On'!F179</f>
        <v/>
      </c>
      <c r="H176" s="153">
        <f t="shared" si="36"/>
        <v>0.49236111111111069</v>
      </c>
      <c r="I176" s="154"/>
      <c r="J176" s="155" t="str">
        <f t="shared" si="37"/>
        <v/>
      </c>
      <c r="K176" s="189" t="str">
        <f t="shared" si="31"/>
        <v/>
      </c>
      <c r="L176" s="155" t="str">
        <f t="shared" si="41"/>
        <v/>
      </c>
      <c r="M176" s="155" t="str">
        <f t="shared" si="38"/>
        <v/>
      </c>
      <c r="N176" s="189" t="str">
        <f t="shared" si="33"/>
        <v/>
      </c>
      <c r="O176" s="155" t="str">
        <f t="shared" si="42"/>
        <v/>
      </c>
      <c r="P176" s="145" t="str">
        <f t="shared" si="39"/>
        <v/>
      </c>
      <c r="Q176" s="230" t="str">
        <f t="shared" si="40"/>
        <v/>
      </c>
      <c r="R176" s="228"/>
    </row>
    <row r="177" spans="1:18">
      <c r="A177" t="e">
        <f t="shared" si="28"/>
        <v>#VALUE!</v>
      </c>
      <c r="B177" t="e">
        <f t="shared" si="29"/>
        <v>#VALUE!</v>
      </c>
      <c r="C177" s="152">
        <f>'Sign-On'!A180</f>
        <v>170</v>
      </c>
      <c r="D177" s="142" t="str">
        <f>'Sign-On'!B180</f>
        <v/>
      </c>
      <c r="E177" s="142" t="str">
        <f>'Sign-On'!D180</f>
        <v/>
      </c>
      <c r="F177" s="142" t="str">
        <f>'Sign-On'!H180</f>
        <v/>
      </c>
      <c r="G177" s="143" t="str">
        <f>'Sign-On'!F180</f>
        <v/>
      </c>
      <c r="H177" s="153">
        <f t="shared" si="36"/>
        <v>0.49305555555555514</v>
      </c>
      <c r="I177" s="154"/>
      <c r="J177" s="155" t="str">
        <f t="shared" si="37"/>
        <v/>
      </c>
      <c r="K177" s="189" t="str">
        <f t="shared" si="31"/>
        <v/>
      </c>
      <c r="L177" s="155" t="str">
        <f t="shared" si="41"/>
        <v/>
      </c>
      <c r="M177" s="155" t="str">
        <f t="shared" si="38"/>
        <v/>
      </c>
      <c r="N177" s="189" t="str">
        <f t="shared" si="33"/>
        <v/>
      </c>
      <c r="O177" s="155" t="str">
        <f t="shared" si="42"/>
        <v/>
      </c>
      <c r="P177" s="145" t="str">
        <f t="shared" si="39"/>
        <v/>
      </c>
      <c r="Q177" s="230" t="str">
        <f t="shared" si="40"/>
        <v/>
      </c>
      <c r="R177" s="228"/>
    </row>
    <row r="178" spans="1:18">
      <c r="A178" t="e">
        <f t="shared" si="28"/>
        <v>#VALUE!</v>
      </c>
      <c r="B178" t="e">
        <f>RANK(N178,$N$8:$N$208,1)</f>
        <v>#VALUE!</v>
      </c>
      <c r="C178" s="152">
        <f>'Sign-On'!A181</f>
        <v>171</v>
      </c>
      <c r="D178" s="142" t="str">
        <f>'Sign-On'!B181</f>
        <v/>
      </c>
      <c r="E178" s="142" t="str">
        <f>'Sign-On'!D181</f>
        <v/>
      </c>
      <c r="F178" s="142" t="str">
        <f>'Sign-On'!H181</f>
        <v/>
      </c>
      <c r="G178" s="143" t="str">
        <f>'Sign-On'!F181</f>
        <v/>
      </c>
      <c r="H178" s="153">
        <f>FacingSheet!$S$10+(1/1440)</f>
        <v>0.37569444444444444</v>
      </c>
      <c r="I178" s="154"/>
      <c r="J178" s="155" t="str">
        <f>IF(I178="","",I178-H178)</f>
        <v/>
      </c>
      <c r="K178" s="189" t="str">
        <f>IF(IF(AND(J178="",D178=""),"",IF(AND(J178&lt;&gt;"",D178&lt;&gt;""),J178+0.000000001*ROW(),IF(AND(J178="",D178&lt;&gt;""),5*ROW())))&gt;1,"",IF(AND(J178="",D178=""),"",IF(AND(J178&lt;&gt;"",D178&lt;&gt;""),J178+0.000000001*ROW(),IF(AND(J178="",D178&lt;&gt;""),5*ROW()))))</f>
        <v/>
      </c>
      <c r="L178" s="155" t="str">
        <f t="shared" si="41"/>
        <v/>
      </c>
      <c r="M178" s="155" t="str">
        <f>IF(OR(L178="",J178=""),"",J178-L178)</f>
        <v/>
      </c>
      <c r="N178" s="189" t="str">
        <f>IF(IF(AND(M178="",D178=""),"",IF(AND(M178&lt;&gt;"",D178&lt;&gt;""),M178+0.000000001*ROW(),IF(AND(M178="",D178&lt;&gt;""),5*ROW())))&gt;1,"",IF(AND(M178="",D178=""),"",IF(AND(M178&lt;&gt;"",D178&lt;&gt;""),M178+0.000000001*ROW(),IF(AND(M178="",D178&lt;&gt;""),5*ROW()))))</f>
        <v/>
      </c>
      <c r="O178" s="155" t="str">
        <f t="shared" si="42"/>
        <v/>
      </c>
      <c r="P178" s="145" t="str">
        <f>IF(OR(O178="",J178=""),"",IF(J178&gt;O178,"-","+"))</f>
        <v/>
      </c>
      <c r="Q178" s="230" t="str">
        <f>IF(OR(O178="",J178=""),"",IF(J178&gt;O178,J178-O178,O178-J178))</f>
        <v/>
      </c>
      <c r="R178" s="228"/>
    </row>
    <row r="179" spans="1:18">
      <c r="A179" t="e">
        <f t="shared" si="28"/>
        <v>#VALUE!</v>
      </c>
      <c r="B179" t="e">
        <f t="shared" ref="B179:B207" si="43">RANK(N179,$N$8:$N$208,1)</f>
        <v>#VALUE!</v>
      </c>
      <c r="C179" s="152">
        <f>'Sign-On'!A182</f>
        <v>172</v>
      </c>
      <c r="D179" s="142" t="str">
        <f>'Sign-On'!B182</f>
        <v/>
      </c>
      <c r="E179" s="142" t="str">
        <f>'Sign-On'!D182</f>
        <v/>
      </c>
      <c r="F179" s="142" t="str">
        <f>'Sign-On'!H182</f>
        <v/>
      </c>
      <c r="G179" s="143" t="str">
        <f>'Sign-On'!F182</f>
        <v/>
      </c>
      <c r="H179" s="153">
        <f>H178+1/1440</f>
        <v>0.37638888888888888</v>
      </c>
      <c r="I179" s="154"/>
      <c r="J179" s="155" t="str">
        <f t="shared" ref="J179:J204" si="44">IF(I179="","",I179-H179)</f>
        <v/>
      </c>
      <c r="K179" s="189" t="str">
        <f t="shared" ref="K179:K207" si="45">IF(IF(AND(J179="",D179=""),"",IF(AND(J179&lt;&gt;"",D179&lt;&gt;""),J179+0.000000001*ROW(),IF(AND(J179="",D179&lt;&gt;""),5*ROW())))&gt;1,"",IF(AND(J179="",D179=""),"",IF(AND(J179&lt;&gt;"",D179&lt;&gt;""),J179+0.000000001*ROW(),IF(AND(J179="",D179&lt;&gt;""),5*ROW()))))</f>
        <v/>
      </c>
      <c r="L179" s="155" t="str">
        <f t="shared" si="41"/>
        <v/>
      </c>
      <c r="M179" s="155" t="str">
        <f t="shared" ref="M179:M207" si="46">IF(OR(L179="",J179=""),"",J179-L179)</f>
        <v/>
      </c>
      <c r="N179" s="189" t="str">
        <f t="shared" ref="N179:N207" si="47">IF(IF(AND(M179="",D179=""),"",IF(AND(M179&lt;&gt;"",D179&lt;&gt;""),M179+0.000000001*ROW(),IF(AND(M179="",D179&lt;&gt;""),5*ROW())))&gt;1,"",IF(AND(M179="",D179=""),"",IF(AND(M179&lt;&gt;"",D179&lt;&gt;""),M179+0.000000001*ROW(),IF(AND(M179="",D179&lt;&gt;""),5*ROW()))))</f>
        <v/>
      </c>
      <c r="O179" s="155" t="str">
        <f t="shared" si="42"/>
        <v/>
      </c>
      <c r="P179" s="145" t="str">
        <f t="shared" ref="P179:P207" si="48">IF(OR(O179="",J179=""),"",IF(J179&gt;O179,"-","+"))</f>
        <v/>
      </c>
      <c r="Q179" s="230" t="str">
        <f t="shared" ref="Q179:Q207" si="49">IF(OR(O179="",J179=""),"",IF(J179&gt;O179,J179-O179,O179-J179))</f>
        <v/>
      </c>
      <c r="R179" s="228"/>
    </row>
    <row r="180" spans="1:18">
      <c r="A180" t="e">
        <f t="shared" si="28"/>
        <v>#VALUE!</v>
      </c>
      <c r="B180" t="e">
        <f t="shared" si="43"/>
        <v>#VALUE!</v>
      </c>
      <c r="C180" s="152">
        <f>'Sign-On'!A183</f>
        <v>173</v>
      </c>
      <c r="D180" s="142" t="str">
        <f>'Sign-On'!B183</f>
        <v/>
      </c>
      <c r="E180" s="142" t="str">
        <f>'Sign-On'!D183</f>
        <v/>
      </c>
      <c r="F180" s="142" t="str">
        <f>'Sign-On'!H183</f>
        <v/>
      </c>
      <c r="G180" s="143" t="str">
        <f>'Sign-On'!F183</f>
        <v/>
      </c>
      <c r="H180" s="153">
        <f t="shared" ref="H180:H207" si="50">H179+1/1440</f>
        <v>0.37708333333333333</v>
      </c>
      <c r="I180" s="154"/>
      <c r="J180" s="155" t="str">
        <f t="shared" si="44"/>
        <v/>
      </c>
      <c r="K180" s="189" t="str">
        <f t="shared" si="45"/>
        <v/>
      </c>
      <c r="L180" s="155" t="str">
        <f t="shared" si="41"/>
        <v/>
      </c>
      <c r="M180" s="155" t="str">
        <f t="shared" si="46"/>
        <v/>
      </c>
      <c r="N180" s="189" t="str">
        <f t="shared" si="47"/>
        <v/>
      </c>
      <c r="O180" s="155" t="str">
        <f t="shared" si="42"/>
        <v/>
      </c>
      <c r="P180" s="145" t="str">
        <f t="shared" si="48"/>
        <v/>
      </c>
      <c r="Q180" s="230" t="str">
        <f t="shared" si="49"/>
        <v/>
      </c>
      <c r="R180" s="228"/>
    </row>
    <row r="181" spans="1:18">
      <c r="A181" t="e">
        <f t="shared" si="28"/>
        <v>#VALUE!</v>
      </c>
      <c r="B181" t="e">
        <f t="shared" si="43"/>
        <v>#VALUE!</v>
      </c>
      <c r="C181" s="152">
        <f>'Sign-On'!A184</f>
        <v>174</v>
      </c>
      <c r="D181" s="142" t="str">
        <f>'Sign-On'!B184</f>
        <v/>
      </c>
      <c r="E181" s="142" t="str">
        <f>'Sign-On'!D184</f>
        <v/>
      </c>
      <c r="F181" s="142" t="str">
        <f>'Sign-On'!H184</f>
        <v/>
      </c>
      <c r="G181" s="143" t="str">
        <f>'Sign-On'!F184</f>
        <v/>
      </c>
      <c r="H181" s="153">
        <f t="shared" si="50"/>
        <v>0.37777777777777777</v>
      </c>
      <c r="I181" s="154"/>
      <c r="J181" s="155" t="str">
        <f t="shared" si="44"/>
        <v/>
      </c>
      <c r="K181" s="189" t="str">
        <f t="shared" si="45"/>
        <v/>
      </c>
      <c r="L181" s="155" t="str">
        <f t="shared" si="41"/>
        <v/>
      </c>
      <c r="M181" s="155" t="str">
        <f t="shared" si="46"/>
        <v/>
      </c>
      <c r="N181" s="189" t="str">
        <f t="shared" si="47"/>
        <v/>
      </c>
      <c r="O181" s="155" t="str">
        <f t="shared" si="42"/>
        <v/>
      </c>
      <c r="P181" s="145" t="str">
        <f t="shared" si="48"/>
        <v/>
      </c>
      <c r="Q181" s="230" t="str">
        <f t="shared" si="49"/>
        <v/>
      </c>
      <c r="R181" s="228"/>
    </row>
    <row r="182" spans="1:18">
      <c r="A182" t="e">
        <f t="shared" si="28"/>
        <v>#VALUE!</v>
      </c>
      <c r="B182" t="e">
        <f t="shared" si="43"/>
        <v>#VALUE!</v>
      </c>
      <c r="C182" s="152">
        <f>'Sign-On'!A185</f>
        <v>175</v>
      </c>
      <c r="D182" s="142" t="str">
        <f>'Sign-On'!B185</f>
        <v/>
      </c>
      <c r="E182" s="142" t="str">
        <f>'Sign-On'!D185</f>
        <v/>
      </c>
      <c r="F182" s="142" t="str">
        <f>'Sign-On'!H185</f>
        <v/>
      </c>
      <c r="G182" s="143" t="str">
        <f>'Sign-On'!F185</f>
        <v/>
      </c>
      <c r="H182" s="153">
        <f t="shared" si="50"/>
        <v>0.37847222222222221</v>
      </c>
      <c r="I182" s="154"/>
      <c r="J182" s="155" t="str">
        <f t="shared" si="44"/>
        <v/>
      </c>
      <c r="K182" s="189" t="str">
        <f t="shared" si="45"/>
        <v/>
      </c>
      <c r="L182" s="155" t="str">
        <f t="shared" si="41"/>
        <v/>
      </c>
      <c r="M182" s="155" t="str">
        <f t="shared" si="46"/>
        <v/>
      </c>
      <c r="N182" s="189" t="str">
        <f t="shared" si="47"/>
        <v/>
      </c>
      <c r="O182" s="155" t="str">
        <f t="shared" si="42"/>
        <v/>
      </c>
      <c r="P182" s="145" t="str">
        <f t="shared" si="48"/>
        <v/>
      </c>
      <c r="Q182" s="230" t="str">
        <f t="shared" si="49"/>
        <v/>
      </c>
      <c r="R182" s="228"/>
    </row>
    <row r="183" spans="1:18">
      <c r="A183" t="e">
        <f t="shared" si="28"/>
        <v>#VALUE!</v>
      </c>
      <c r="B183" t="e">
        <f t="shared" si="43"/>
        <v>#VALUE!</v>
      </c>
      <c r="C183" s="152">
        <f>'Sign-On'!A186</f>
        <v>176</v>
      </c>
      <c r="D183" s="142" t="str">
        <f>'Sign-On'!B186</f>
        <v/>
      </c>
      <c r="E183" s="142" t="str">
        <f>'Sign-On'!D186</f>
        <v/>
      </c>
      <c r="F183" s="142" t="str">
        <f>'Sign-On'!H186</f>
        <v/>
      </c>
      <c r="G183" s="143" t="str">
        <f>'Sign-On'!F186</f>
        <v/>
      </c>
      <c r="H183" s="153">
        <f t="shared" si="50"/>
        <v>0.37916666666666665</v>
      </c>
      <c r="I183" s="154"/>
      <c r="J183" s="155" t="str">
        <f t="shared" si="44"/>
        <v/>
      </c>
      <c r="K183" s="189" t="str">
        <f t="shared" si="45"/>
        <v/>
      </c>
      <c r="L183" s="155" t="str">
        <f t="shared" si="41"/>
        <v/>
      </c>
      <c r="M183" s="155" t="str">
        <f t="shared" si="46"/>
        <v/>
      </c>
      <c r="N183" s="189" t="str">
        <f t="shared" si="47"/>
        <v/>
      </c>
      <c r="O183" s="155" t="str">
        <f t="shared" si="42"/>
        <v/>
      </c>
      <c r="P183" s="145" t="str">
        <f t="shared" si="48"/>
        <v/>
      </c>
      <c r="Q183" s="230" t="str">
        <f t="shared" si="49"/>
        <v/>
      </c>
      <c r="R183" s="228"/>
    </row>
    <row r="184" spans="1:18">
      <c r="A184" t="e">
        <f t="shared" si="28"/>
        <v>#VALUE!</v>
      </c>
      <c r="B184" t="e">
        <f t="shared" si="43"/>
        <v>#VALUE!</v>
      </c>
      <c r="C184" s="152">
        <f>'Sign-On'!A187</f>
        <v>177</v>
      </c>
      <c r="D184" s="142" t="str">
        <f>'Sign-On'!B187</f>
        <v/>
      </c>
      <c r="E184" s="142" t="str">
        <f>'Sign-On'!D187</f>
        <v/>
      </c>
      <c r="F184" s="142" t="str">
        <f>'Sign-On'!H187</f>
        <v/>
      </c>
      <c r="G184" s="143" t="str">
        <f>'Sign-On'!F187</f>
        <v/>
      </c>
      <c r="H184" s="153">
        <f t="shared" si="50"/>
        <v>0.37986111111111109</v>
      </c>
      <c r="I184" s="154"/>
      <c r="J184" s="155" t="str">
        <f t="shared" si="44"/>
        <v/>
      </c>
      <c r="K184" s="189" t="str">
        <f t="shared" si="45"/>
        <v/>
      </c>
      <c r="L184" s="155" t="str">
        <f t="shared" si="41"/>
        <v/>
      </c>
      <c r="M184" s="155" t="str">
        <f t="shared" si="46"/>
        <v/>
      </c>
      <c r="N184" s="189" t="str">
        <f t="shared" si="47"/>
        <v/>
      </c>
      <c r="O184" s="155" t="str">
        <f t="shared" si="42"/>
        <v/>
      </c>
      <c r="P184" s="145" t="str">
        <f t="shared" si="48"/>
        <v/>
      </c>
      <c r="Q184" s="230" t="str">
        <f t="shared" si="49"/>
        <v/>
      </c>
      <c r="R184" s="228"/>
    </row>
    <row r="185" spans="1:18">
      <c r="A185" t="e">
        <f t="shared" si="28"/>
        <v>#VALUE!</v>
      </c>
      <c r="B185" t="e">
        <f t="shared" si="43"/>
        <v>#VALUE!</v>
      </c>
      <c r="C185" s="152">
        <f>'Sign-On'!A188</f>
        <v>178</v>
      </c>
      <c r="D185" s="142" t="str">
        <f>'Sign-On'!B188</f>
        <v/>
      </c>
      <c r="E185" s="142" t="str">
        <f>'Sign-On'!D188</f>
        <v/>
      </c>
      <c r="F185" s="142" t="str">
        <f>'Sign-On'!H188</f>
        <v/>
      </c>
      <c r="G185" s="143" t="str">
        <f>'Sign-On'!F188</f>
        <v/>
      </c>
      <c r="H185" s="153">
        <f t="shared" si="50"/>
        <v>0.38055555555555554</v>
      </c>
      <c r="I185" s="154"/>
      <c r="J185" s="155" t="str">
        <f t="shared" si="44"/>
        <v/>
      </c>
      <c r="K185" s="189" t="str">
        <f t="shared" si="45"/>
        <v/>
      </c>
      <c r="L185" s="155" t="str">
        <f t="shared" si="41"/>
        <v/>
      </c>
      <c r="M185" s="155" t="str">
        <f t="shared" si="46"/>
        <v/>
      </c>
      <c r="N185" s="189" t="str">
        <f t="shared" si="47"/>
        <v/>
      </c>
      <c r="O185" s="155" t="str">
        <f t="shared" si="42"/>
        <v/>
      </c>
      <c r="P185" s="145" t="str">
        <f t="shared" si="48"/>
        <v/>
      </c>
      <c r="Q185" s="230" t="str">
        <f t="shared" si="49"/>
        <v/>
      </c>
      <c r="R185" s="228"/>
    </row>
    <row r="186" spans="1:18">
      <c r="A186" t="e">
        <f t="shared" si="28"/>
        <v>#VALUE!</v>
      </c>
      <c r="B186" t="e">
        <f t="shared" si="43"/>
        <v>#VALUE!</v>
      </c>
      <c r="C186" s="152">
        <f>'Sign-On'!A189</f>
        <v>179</v>
      </c>
      <c r="D186" s="142" t="str">
        <f>'Sign-On'!B189</f>
        <v/>
      </c>
      <c r="E186" s="142" t="str">
        <f>'Sign-On'!D189</f>
        <v/>
      </c>
      <c r="F186" s="142" t="str">
        <f>'Sign-On'!H189</f>
        <v/>
      </c>
      <c r="G186" s="143" t="str">
        <f>'Sign-On'!F189</f>
        <v/>
      </c>
      <c r="H186" s="153">
        <f t="shared" si="50"/>
        <v>0.38124999999999998</v>
      </c>
      <c r="I186" s="154"/>
      <c r="J186" s="155" t="str">
        <f t="shared" si="44"/>
        <v/>
      </c>
      <c r="K186" s="189" t="str">
        <f t="shared" si="45"/>
        <v/>
      </c>
      <c r="L186" s="155" t="str">
        <f t="shared" si="41"/>
        <v/>
      </c>
      <c r="M186" s="155" t="str">
        <f t="shared" si="46"/>
        <v/>
      </c>
      <c r="N186" s="189" t="str">
        <f t="shared" si="47"/>
        <v/>
      </c>
      <c r="O186" s="155" t="str">
        <f t="shared" si="42"/>
        <v/>
      </c>
      <c r="P186" s="145" t="str">
        <f t="shared" si="48"/>
        <v/>
      </c>
      <c r="Q186" s="230" t="str">
        <f t="shared" si="49"/>
        <v/>
      </c>
      <c r="R186" s="228"/>
    </row>
    <row r="187" spans="1:18">
      <c r="A187" t="e">
        <f t="shared" si="28"/>
        <v>#VALUE!</v>
      </c>
      <c r="B187" t="e">
        <f t="shared" si="43"/>
        <v>#VALUE!</v>
      </c>
      <c r="C187" s="152">
        <f>'Sign-On'!A190</f>
        <v>180</v>
      </c>
      <c r="D187" s="142" t="str">
        <f>'Sign-On'!B190</f>
        <v/>
      </c>
      <c r="E187" s="142" t="str">
        <f>'Sign-On'!D190</f>
        <v/>
      </c>
      <c r="F187" s="142" t="str">
        <f>'Sign-On'!H190</f>
        <v/>
      </c>
      <c r="G187" s="143" t="str">
        <f>'Sign-On'!F190</f>
        <v/>
      </c>
      <c r="H187" s="153">
        <f t="shared" si="50"/>
        <v>0.38194444444444442</v>
      </c>
      <c r="I187" s="154"/>
      <c r="J187" s="155" t="str">
        <f t="shared" si="44"/>
        <v/>
      </c>
      <c r="K187" s="189" t="str">
        <f t="shared" si="45"/>
        <v/>
      </c>
      <c r="L187" s="155" t="str">
        <f t="shared" si="41"/>
        <v/>
      </c>
      <c r="M187" s="155" t="str">
        <f t="shared" si="46"/>
        <v/>
      </c>
      <c r="N187" s="189" t="str">
        <f t="shared" si="47"/>
        <v/>
      </c>
      <c r="O187" s="155" t="str">
        <f t="shared" si="42"/>
        <v/>
      </c>
      <c r="P187" s="145" t="str">
        <f t="shared" si="48"/>
        <v/>
      </c>
      <c r="Q187" s="230" t="str">
        <f t="shared" si="49"/>
        <v/>
      </c>
      <c r="R187" s="228"/>
    </row>
    <row r="188" spans="1:18">
      <c r="A188" t="e">
        <f t="shared" si="28"/>
        <v>#VALUE!</v>
      </c>
      <c r="B188" t="e">
        <f t="shared" si="43"/>
        <v>#VALUE!</v>
      </c>
      <c r="C188" s="152">
        <f>'Sign-On'!A191</f>
        <v>181</v>
      </c>
      <c r="D188" s="142" t="str">
        <f>'Sign-On'!B191</f>
        <v/>
      </c>
      <c r="E188" s="142" t="str">
        <f>'Sign-On'!D191</f>
        <v/>
      </c>
      <c r="F188" s="142" t="str">
        <f>'Sign-On'!H191</f>
        <v/>
      </c>
      <c r="G188" s="143" t="str">
        <f>'Sign-On'!F191</f>
        <v/>
      </c>
      <c r="H188" s="153">
        <f t="shared" si="50"/>
        <v>0.38263888888888886</v>
      </c>
      <c r="I188" s="154"/>
      <c r="J188" s="155" t="str">
        <f t="shared" si="44"/>
        <v/>
      </c>
      <c r="K188" s="189" t="str">
        <f t="shared" si="45"/>
        <v/>
      </c>
      <c r="L188" s="155" t="str">
        <f t="shared" si="41"/>
        <v/>
      </c>
      <c r="M188" s="155" t="str">
        <f t="shared" si="46"/>
        <v/>
      </c>
      <c r="N188" s="189" t="str">
        <f t="shared" si="47"/>
        <v/>
      </c>
      <c r="O188" s="155" t="str">
        <f t="shared" si="42"/>
        <v/>
      </c>
      <c r="P188" s="145" t="str">
        <f t="shared" si="48"/>
        <v/>
      </c>
      <c r="Q188" s="230" t="str">
        <f t="shared" si="49"/>
        <v/>
      </c>
      <c r="R188" s="228"/>
    </row>
    <row r="189" spans="1:18">
      <c r="A189" t="e">
        <f t="shared" si="28"/>
        <v>#VALUE!</v>
      </c>
      <c r="B189" t="e">
        <f t="shared" si="43"/>
        <v>#VALUE!</v>
      </c>
      <c r="C189" s="152">
        <f>'Sign-On'!A192</f>
        <v>182</v>
      </c>
      <c r="D189" s="142" t="str">
        <f>'Sign-On'!B192</f>
        <v/>
      </c>
      <c r="E189" s="142" t="str">
        <f>'Sign-On'!D192</f>
        <v/>
      </c>
      <c r="F189" s="142" t="str">
        <f>'Sign-On'!H192</f>
        <v/>
      </c>
      <c r="G189" s="143" t="str">
        <f>'Sign-On'!F192</f>
        <v/>
      </c>
      <c r="H189" s="153">
        <f t="shared" si="50"/>
        <v>0.3833333333333333</v>
      </c>
      <c r="I189" s="154"/>
      <c r="J189" s="155" t="str">
        <f t="shared" si="44"/>
        <v/>
      </c>
      <c r="K189" s="189" t="str">
        <f t="shared" si="45"/>
        <v/>
      </c>
      <c r="L189" s="155" t="str">
        <f t="shared" si="41"/>
        <v/>
      </c>
      <c r="M189" s="155" t="str">
        <f t="shared" si="46"/>
        <v/>
      </c>
      <c r="N189" s="189" t="str">
        <f t="shared" si="47"/>
        <v/>
      </c>
      <c r="O189" s="155" t="str">
        <f t="shared" si="42"/>
        <v/>
      </c>
      <c r="P189" s="145" t="str">
        <f t="shared" si="48"/>
        <v/>
      </c>
      <c r="Q189" s="230" t="str">
        <f t="shared" si="49"/>
        <v/>
      </c>
      <c r="R189" s="228"/>
    </row>
    <row r="190" spans="1:18">
      <c r="A190" t="e">
        <f t="shared" si="28"/>
        <v>#VALUE!</v>
      </c>
      <c r="B190" t="e">
        <f t="shared" si="43"/>
        <v>#VALUE!</v>
      </c>
      <c r="C190" s="152">
        <f>'Sign-On'!A193</f>
        <v>183</v>
      </c>
      <c r="D190" s="142" t="str">
        <f>'Sign-On'!B193</f>
        <v/>
      </c>
      <c r="E190" s="142" t="str">
        <f>'Sign-On'!D193</f>
        <v/>
      </c>
      <c r="F190" s="142" t="str">
        <f>'Sign-On'!H193</f>
        <v/>
      </c>
      <c r="G190" s="143" t="str">
        <f>'Sign-On'!F193</f>
        <v/>
      </c>
      <c r="H190" s="153">
        <f t="shared" si="50"/>
        <v>0.38402777777777775</v>
      </c>
      <c r="I190" s="154"/>
      <c r="J190" s="155" t="str">
        <f t="shared" si="44"/>
        <v/>
      </c>
      <c r="K190" s="189" t="str">
        <f t="shared" si="45"/>
        <v/>
      </c>
      <c r="L190" s="155" t="str">
        <f t="shared" si="41"/>
        <v/>
      </c>
      <c r="M190" s="155" t="str">
        <f t="shared" si="46"/>
        <v/>
      </c>
      <c r="N190" s="189" t="str">
        <f t="shared" si="47"/>
        <v/>
      </c>
      <c r="O190" s="155" t="str">
        <f t="shared" si="42"/>
        <v/>
      </c>
      <c r="P190" s="145" t="str">
        <f t="shared" si="48"/>
        <v/>
      </c>
      <c r="Q190" s="230" t="str">
        <f t="shared" si="49"/>
        <v/>
      </c>
      <c r="R190" s="228"/>
    </row>
    <row r="191" spans="1:18">
      <c r="A191" t="e">
        <f t="shared" si="28"/>
        <v>#VALUE!</v>
      </c>
      <c r="B191" t="e">
        <f t="shared" si="43"/>
        <v>#VALUE!</v>
      </c>
      <c r="C191" s="152">
        <f>'Sign-On'!A194</f>
        <v>184</v>
      </c>
      <c r="D191" s="142" t="str">
        <f>'Sign-On'!B194</f>
        <v/>
      </c>
      <c r="E191" s="142" t="str">
        <f>'Sign-On'!D194</f>
        <v/>
      </c>
      <c r="F191" s="142" t="str">
        <f>'Sign-On'!H194</f>
        <v/>
      </c>
      <c r="G191" s="143" t="str">
        <f>'Sign-On'!F194</f>
        <v/>
      </c>
      <c r="H191" s="153">
        <f t="shared" si="50"/>
        <v>0.38472222222222219</v>
      </c>
      <c r="I191" s="154"/>
      <c r="J191" s="155" t="str">
        <f t="shared" si="44"/>
        <v/>
      </c>
      <c r="K191" s="189" t="str">
        <f t="shared" si="45"/>
        <v/>
      </c>
      <c r="L191" s="155" t="str">
        <f t="shared" si="41"/>
        <v/>
      </c>
      <c r="M191" s="155" t="str">
        <f t="shared" si="46"/>
        <v/>
      </c>
      <c r="N191" s="189" t="str">
        <f t="shared" si="47"/>
        <v/>
      </c>
      <c r="O191" s="155" t="str">
        <f t="shared" si="42"/>
        <v/>
      </c>
      <c r="P191" s="145" t="str">
        <f t="shared" si="48"/>
        <v/>
      </c>
      <c r="Q191" s="230" t="str">
        <f t="shared" si="49"/>
        <v/>
      </c>
      <c r="R191" s="228"/>
    </row>
    <row r="192" spans="1:18">
      <c r="A192" t="e">
        <f t="shared" si="28"/>
        <v>#VALUE!</v>
      </c>
      <c r="B192" t="e">
        <f t="shared" si="43"/>
        <v>#VALUE!</v>
      </c>
      <c r="C192" s="152">
        <f>'Sign-On'!A195</f>
        <v>185</v>
      </c>
      <c r="D192" s="142" t="str">
        <f>'Sign-On'!B195</f>
        <v/>
      </c>
      <c r="E192" s="142" t="str">
        <f>'Sign-On'!D195</f>
        <v/>
      </c>
      <c r="F192" s="142" t="str">
        <f>'Sign-On'!H195</f>
        <v/>
      </c>
      <c r="G192" s="143" t="str">
        <f>'Sign-On'!F195</f>
        <v/>
      </c>
      <c r="H192" s="153">
        <f t="shared" si="50"/>
        <v>0.38541666666666663</v>
      </c>
      <c r="I192" s="154"/>
      <c r="J192" s="155" t="str">
        <f t="shared" si="44"/>
        <v/>
      </c>
      <c r="K192" s="189" t="str">
        <f t="shared" si="45"/>
        <v/>
      </c>
      <c r="L192" s="155" t="str">
        <f t="shared" si="41"/>
        <v/>
      </c>
      <c r="M192" s="155" t="str">
        <f t="shared" si="46"/>
        <v/>
      </c>
      <c r="N192" s="189" t="str">
        <f t="shared" si="47"/>
        <v/>
      </c>
      <c r="O192" s="155" t="str">
        <f t="shared" si="42"/>
        <v/>
      </c>
      <c r="P192" s="145" t="str">
        <f t="shared" si="48"/>
        <v/>
      </c>
      <c r="Q192" s="230" t="str">
        <f t="shared" si="49"/>
        <v/>
      </c>
      <c r="R192" s="228"/>
    </row>
    <row r="193" spans="1:18">
      <c r="A193" t="e">
        <f t="shared" si="28"/>
        <v>#VALUE!</v>
      </c>
      <c r="B193" t="e">
        <f t="shared" si="43"/>
        <v>#VALUE!</v>
      </c>
      <c r="C193" s="152">
        <f>'Sign-On'!A196</f>
        <v>186</v>
      </c>
      <c r="D193" s="142" t="str">
        <f>'Sign-On'!B196</f>
        <v/>
      </c>
      <c r="E193" s="142" t="str">
        <f>'Sign-On'!D196</f>
        <v/>
      </c>
      <c r="F193" s="142" t="str">
        <f>'Sign-On'!H196</f>
        <v/>
      </c>
      <c r="G193" s="143" t="str">
        <f>'Sign-On'!F196</f>
        <v/>
      </c>
      <c r="H193" s="153">
        <f t="shared" si="50"/>
        <v>0.38611111111111107</v>
      </c>
      <c r="I193" s="154"/>
      <c r="J193" s="155" t="str">
        <f t="shared" si="44"/>
        <v/>
      </c>
      <c r="K193" s="189" t="str">
        <f t="shared" si="45"/>
        <v/>
      </c>
      <c r="L193" s="155" t="str">
        <f t="shared" si="41"/>
        <v/>
      </c>
      <c r="M193" s="155" t="str">
        <f t="shared" si="46"/>
        <v/>
      </c>
      <c r="N193" s="189" t="str">
        <f t="shared" si="47"/>
        <v/>
      </c>
      <c r="O193" s="155" t="str">
        <f t="shared" si="42"/>
        <v/>
      </c>
      <c r="P193" s="145" t="str">
        <f t="shared" si="48"/>
        <v/>
      </c>
      <c r="Q193" s="230" t="str">
        <f t="shared" si="49"/>
        <v/>
      </c>
      <c r="R193" s="228"/>
    </row>
    <row r="194" spans="1:18">
      <c r="A194" t="e">
        <f t="shared" si="28"/>
        <v>#VALUE!</v>
      </c>
      <c r="B194" t="e">
        <f t="shared" si="43"/>
        <v>#VALUE!</v>
      </c>
      <c r="C194" s="152">
        <f>'Sign-On'!A197</f>
        <v>187</v>
      </c>
      <c r="D194" s="142" t="str">
        <f>'Sign-On'!B197</f>
        <v/>
      </c>
      <c r="E194" s="142" t="str">
        <f>'Sign-On'!D197</f>
        <v/>
      </c>
      <c r="F194" s="142" t="str">
        <f>'Sign-On'!H197</f>
        <v/>
      </c>
      <c r="G194" s="143" t="str">
        <f>'Sign-On'!F197</f>
        <v/>
      </c>
      <c r="H194" s="153">
        <f t="shared" si="50"/>
        <v>0.38680555555555551</v>
      </c>
      <c r="I194" s="154"/>
      <c r="J194" s="155" t="str">
        <f t="shared" si="44"/>
        <v/>
      </c>
      <c r="K194" s="189" t="str">
        <f t="shared" si="45"/>
        <v/>
      </c>
      <c r="L194" s="155" t="str">
        <f t="shared" si="41"/>
        <v/>
      </c>
      <c r="M194" s="155" t="str">
        <f t="shared" si="46"/>
        <v/>
      </c>
      <c r="N194" s="189" t="str">
        <f t="shared" si="47"/>
        <v/>
      </c>
      <c r="O194" s="155" t="str">
        <f t="shared" si="42"/>
        <v/>
      </c>
      <c r="P194" s="145" t="str">
        <f t="shared" si="48"/>
        <v/>
      </c>
      <c r="Q194" s="230" t="str">
        <f t="shared" si="49"/>
        <v/>
      </c>
      <c r="R194" s="228"/>
    </row>
    <row r="195" spans="1:18">
      <c r="A195" t="e">
        <f t="shared" si="28"/>
        <v>#VALUE!</v>
      </c>
      <c r="B195" t="e">
        <f t="shared" si="43"/>
        <v>#VALUE!</v>
      </c>
      <c r="C195" s="152">
        <f>'Sign-On'!A198</f>
        <v>188</v>
      </c>
      <c r="D195" s="142" t="str">
        <f>'Sign-On'!B198</f>
        <v/>
      </c>
      <c r="E195" s="142" t="str">
        <f>'Sign-On'!D198</f>
        <v/>
      </c>
      <c r="F195" s="142" t="str">
        <f>'Sign-On'!H198</f>
        <v/>
      </c>
      <c r="G195" s="143" t="str">
        <f>'Sign-On'!F198</f>
        <v/>
      </c>
      <c r="H195" s="153">
        <f t="shared" si="50"/>
        <v>0.38749999999999996</v>
      </c>
      <c r="I195" s="154"/>
      <c r="J195" s="155" t="str">
        <f t="shared" si="44"/>
        <v/>
      </c>
      <c r="K195" s="189" t="str">
        <f t="shared" si="45"/>
        <v/>
      </c>
      <c r="L195" s="155" t="str">
        <f t="shared" si="41"/>
        <v/>
      </c>
      <c r="M195" s="155" t="str">
        <f t="shared" si="46"/>
        <v/>
      </c>
      <c r="N195" s="189" t="str">
        <f t="shared" si="47"/>
        <v/>
      </c>
      <c r="O195" s="155" t="str">
        <f t="shared" si="42"/>
        <v/>
      </c>
      <c r="P195" s="145" t="str">
        <f t="shared" si="48"/>
        <v/>
      </c>
      <c r="Q195" s="230" t="str">
        <f t="shared" si="49"/>
        <v/>
      </c>
      <c r="R195" s="228"/>
    </row>
    <row r="196" spans="1:18">
      <c r="A196" t="e">
        <f t="shared" si="28"/>
        <v>#VALUE!</v>
      </c>
      <c r="B196" t="e">
        <f t="shared" si="43"/>
        <v>#VALUE!</v>
      </c>
      <c r="C196" s="152">
        <f>'Sign-On'!A199</f>
        <v>189</v>
      </c>
      <c r="D196" s="142" t="str">
        <f>'Sign-On'!B199</f>
        <v/>
      </c>
      <c r="E196" s="142" t="str">
        <f>'Sign-On'!D199</f>
        <v/>
      </c>
      <c r="F196" s="142" t="str">
        <f>'Sign-On'!H199</f>
        <v/>
      </c>
      <c r="G196" s="143" t="str">
        <f>'Sign-On'!F199</f>
        <v/>
      </c>
      <c r="H196" s="153">
        <f t="shared" si="50"/>
        <v>0.3881944444444444</v>
      </c>
      <c r="I196" s="154"/>
      <c r="J196" s="155" t="str">
        <f t="shared" si="44"/>
        <v/>
      </c>
      <c r="K196" s="189" t="str">
        <f t="shared" si="45"/>
        <v/>
      </c>
      <c r="L196" s="155" t="str">
        <f t="shared" si="41"/>
        <v/>
      </c>
      <c r="M196" s="155" t="str">
        <f t="shared" si="46"/>
        <v/>
      </c>
      <c r="N196" s="189" t="str">
        <f t="shared" si="47"/>
        <v/>
      </c>
      <c r="O196" s="155" t="str">
        <f t="shared" si="42"/>
        <v/>
      </c>
      <c r="P196" s="145" t="str">
        <f t="shared" si="48"/>
        <v/>
      </c>
      <c r="Q196" s="230" t="str">
        <f t="shared" si="49"/>
        <v/>
      </c>
      <c r="R196" s="228"/>
    </row>
    <row r="197" spans="1:18">
      <c r="A197" t="e">
        <f t="shared" si="28"/>
        <v>#VALUE!</v>
      </c>
      <c r="B197" t="e">
        <f t="shared" si="43"/>
        <v>#VALUE!</v>
      </c>
      <c r="C197" s="152">
        <f>'Sign-On'!A200</f>
        <v>190</v>
      </c>
      <c r="D197" s="142" t="str">
        <f>'Sign-On'!B200</f>
        <v/>
      </c>
      <c r="E197" s="142" t="str">
        <f>'Sign-On'!D200</f>
        <v/>
      </c>
      <c r="F197" s="142" t="str">
        <f>'Sign-On'!H200</f>
        <v/>
      </c>
      <c r="G197" s="143" t="str">
        <f>'Sign-On'!F200</f>
        <v/>
      </c>
      <c r="H197" s="153">
        <f t="shared" si="50"/>
        <v>0.38888888888888884</v>
      </c>
      <c r="I197" s="154"/>
      <c r="J197" s="155" t="str">
        <f t="shared" si="44"/>
        <v/>
      </c>
      <c r="K197" s="189" t="str">
        <f t="shared" si="45"/>
        <v/>
      </c>
      <c r="L197" s="155" t="str">
        <f t="shared" si="41"/>
        <v/>
      </c>
      <c r="M197" s="155" t="str">
        <f t="shared" si="46"/>
        <v/>
      </c>
      <c r="N197" s="189" t="str">
        <f t="shared" si="47"/>
        <v/>
      </c>
      <c r="O197" s="155" t="str">
        <f t="shared" si="42"/>
        <v/>
      </c>
      <c r="P197" s="145" t="str">
        <f t="shared" si="48"/>
        <v/>
      </c>
      <c r="Q197" s="230" t="str">
        <f t="shared" si="49"/>
        <v/>
      </c>
      <c r="R197" s="228"/>
    </row>
    <row r="198" spans="1:18">
      <c r="A198" t="e">
        <f t="shared" si="28"/>
        <v>#VALUE!</v>
      </c>
      <c r="B198" t="e">
        <f t="shared" si="43"/>
        <v>#VALUE!</v>
      </c>
      <c r="C198" s="152">
        <f>'Sign-On'!A201</f>
        <v>191</v>
      </c>
      <c r="D198" s="142" t="str">
        <f>'Sign-On'!B201</f>
        <v/>
      </c>
      <c r="E198" s="142" t="str">
        <f>'Sign-On'!D201</f>
        <v/>
      </c>
      <c r="F198" s="142" t="str">
        <f>'Sign-On'!H201</f>
        <v/>
      </c>
      <c r="G198" s="143" t="str">
        <f>'Sign-On'!F201</f>
        <v/>
      </c>
      <c r="H198" s="153">
        <f t="shared" si="50"/>
        <v>0.38958333333333328</v>
      </c>
      <c r="I198" s="154"/>
      <c r="J198" s="155" t="str">
        <f t="shared" si="44"/>
        <v/>
      </c>
      <c r="K198" s="189" t="str">
        <f t="shared" si="45"/>
        <v/>
      </c>
      <c r="L198" s="155" t="str">
        <f t="shared" si="41"/>
        <v/>
      </c>
      <c r="M198" s="155" t="str">
        <f t="shared" si="46"/>
        <v/>
      </c>
      <c r="N198" s="189" t="str">
        <f t="shared" si="47"/>
        <v/>
      </c>
      <c r="O198" s="155" t="str">
        <f t="shared" si="42"/>
        <v/>
      </c>
      <c r="P198" s="145" t="str">
        <f t="shared" si="48"/>
        <v/>
      </c>
      <c r="Q198" s="230" t="str">
        <f t="shared" si="49"/>
        <v/>
      </c>
      <c r="R198" s="228"/>
    </row>
    <row r="199" spans="1:18">
      <c r="A199" t="e">
        <f t="shared" si="28"/>
        <v>#VALUE!</v>
      </c>
      <c r="B199" t="e">
        <f t="shared" si="43"/>
        <v>#VALUE!</v>
      </c>
      <c r="C199" s="152">
        <f>'Sign-On'!A202</f>
        <v>192</v>
      </c>
      <c r="D199" s="142" t="str">
        <f>'Sign-On'!B202</f>
        <v/>
      </c>
      <c r="E199" s="142" t="str">
        <f>'Sign-On'!D202</f>
        <v/>
      </c>
      <c r="F199" s="142" t="str">
        <f>'Sign-On'!H202</f>
        <v/>
      </c>
      <c r="G199" s="143" t="str">
        <f>'Sign-On'!F202</f>
        <v/>
      </c>
      <c r="H199" s="153">
        <f t="shared" si="50"/>
        <v>0.39027777777777772</v>
      </c>
      <c r="I199" s="154"/>
      <c r="J199" s="155" t="str">
        <f t="shared" si="44"/>
        <v/>
      </c>
      <c r="K199" s="189" t="str">
        <f t="shared" si="45"/>
        <v/>
      </c>
      <c r="L199" s="155" t="str">
        <f t="shared" si="41"/>
        <v/>
      </c>
      <c r="M199" s="155" t="str">
        <f t="shared" si="46"/>
        <v/>
      </c>
      <c r="N199" s="189" t="str">
        <f t="shared" si="47"/>
        <v/>
      </c>
      <c r="O199" s="155" t="str">
        <f t="shared" si="42"/>
        <v/>
      </c>
      <c r="P199" s="145" t="str">
        <f t="shared" si="48"/>
        <v/>
      </c>
      <c r="Q199" s="230" t="str">
        <f t="shared" si="49"/>
        <v/>
      </c>
      <c r="R199" s="228"/>
    </row>
    <row r="200" spans="1:18">
      <c r="A200" t="e">
        <f t="shared" si="28"/>
        <v>#VALUE!</v>
      </c>
      <c r="B200" t="e">
        <f t="shared" si="43"/>
        <v>#VALUE!</v>
      </c>
      <c r="C200" s="152">
        <f>'Sign-On'!A203</f>
        <v>193</v>
      </c>
      <c r="D200" s="142" t="str">
        <f>'Sign-On'!B203</f>
        <v/>
      </c>
      <c r="E200" s="142" t="str">
        <f>'Sign-On'!D203</f>
        <v/>
      </c>
      <c r="F200" s="142" t="str">
        <f>'Sign-On'!H203</f>
        <v/>
      </c>
      <c r="G200" s="143" t="str">
        <f>'Sign-On'!F203</f>
        <v/>
      </c>
      <c r="H200" s="153">
        <f t="shared" si="50"/>
        <v>0.39097222222222217</v>
      </c>
      <c r="I200" s="154"/>
      <c r="J200" s="155" t="str">
        <f t="shared" si="44"/>
        <v/>
      </c>
      <c r="K200" s="189" t="str">
        <f t="shared" si="45"/>
        <v/>
      </c>
      <c r="L200" s="155" t="str">
        <f t="shared" si="41"/>
        <v/>
      </c>
      <c r="M200" s="155" t="str">
        <f t="shared" si="46"/>
        <v/>
      </c>
      <c r="N200" s="189" t="str">
        <f t="shared" si="47"/>
        <v/>
      </c>
      <c r="O200" s="155" t="str">
        <f t="shared" si="42"/>
        <v/>
      </c>
      <c r="P200" s="145" t="str">
        <f t="shared" si="48"/>
        <v/>
      </c>
      <c r="Q200" s="230" t="str">
        <f t="shared" si="49"/>
        <v/>
      </c>
      <c r="R200" s="228"/>
    </row>
    <row r="201" spans="1:18">
      <c r="A201" t="e">
        <f t="shared" ref="A201:A207" si="51">RANK(K201,$K$8:$K$208,1)</f>
        <v>#VALUE!</v>
      </c>
      <c r="B201" t="e">
        <f t="shared" si="43"/>
        <v>#VALUE!</v>
      </c>
      <c r="C201" s="152">
        <f>'Sign-On'!A204</f>
        <v>194</v>
      </c>
      <c r="D201" s="142" t="str">
        <f>'Sign-On'!B204</f>
        <v/>
      </c>
      <c r="E201" s="142" t="str">
        <f>'Sign-On'!D204</f>
        <v/>
      </c>
      <c r="F201" s="142" t="str">
        <f>'Sign-On'!H204</f>
        <v/>
      </c>
      <c r="G201" s="143" t="str">
        <f>'Sign-On'!F204</f>
        <v/>
      </c>
      <c r="H201" s="153">
        <f t="shared" si="50"/>
        <v>0.39166666666666661</v>
      </c>
      <c r="I201" s="154"/>
      <c r="J201" s="155" t="str">
        <f t="shared" si="44"/>
        <v/>
      </c>
      <c r="K201" s="189" t="str">
        <f t="shared" si="45"/>
        <v/>
      </c>
      <c r="L201" s="155" t="str">
        <f t="shared" si="41"/>
        <v/>
      </c>
      <c r="M201" s="155" t="str">
        <f t="shared" si="46"/>
        <v/>
      </c>
      <c r="N201" s="189" t="str">
        <f t="shared" si="47"/>
        <v/>
      </c>
      <c r="O201" s="155" t="str">
        <f t="shared" si="42"/>
        <v/>
      </c>
      <c r="P201" s="145" t="str">
        <f t="shared" si="48"/>
        <v/>
      </c>
      <c r="Q201" s="230" t="str">
        <f t="shared" si="49"/>
        <v/>
      </c>
      <c r="R201" s="228"/>
    </row>
    <row r="202" spans="1:18">
      <c r="A202" t="e">
        <f t="shared" si="51"/>
        <v>#VALUE!</v>
      </c>
      <c r="B202" t="e">
        <f t="shared" si="43"/>
        <v>#VALUE!</v>
      </c>
      <c r="C202" s="152">
        <f>'Sign-On'!A205</f>
        <v>195</v>
      </c>
      <c r="D202" s="142" t="str">
        <f>'Sign-On'!B205</f>
        <v/>
      </c>
      <c r="E202" s="142" t="str">
        <f>'Sign-On'!D205</f>
        <v/>
      </c>
      <c r="F202" s="142" t="str">
        <f>'Sign-On'!H205</f>
        <v/>
      </c>
      <c r="G202" s="143" t="str">
        <f>'Sign-On'!F205</f>
        <v/>
      </c>
      <c r="H202" s="153">
        <f t="shared" si="50"/>
        <v>0.39236111111111105</v>
      </c>
      <c r="I202" s="154"/>
      <c r="J202" s="155" t="str">
        <f t="shared" si="44"/>
        <v/>
      </c>
      <c r="K202" s="189" t="str">
        <f t="shared" si="45"/>
        <v/>
      </c>
      <c r="L202" s="155" t="str">
        <f t="shared" si="41"/>
        <v/>
      </c>
      <c r="M202" s="155" t="str">
        <f t="shared" si="46"/>
        <v/>
      </c>
      <c r="N202" s="189" t="str">
        <f t="shared" si="47"/>
        <v/>
      </c>
      <c r="O202" s="155" t="str">
        <f t="shared" si="42"/>
        <v/>
      </c>
      <c r="P202" s="145" t="str">
        <f t="shared" si="48"/>
        <v/>
      </c>
      <c r="Q202" s="230" t="str">
        <f t="shared" si="49"/>
        <v/>
      </c>
      <c r="R202" s="228"/>
    </row>
    <row r="203" spans="1:18">
      <c r="A203" t="e">
        <f t="shared" si="51"/>
        <v>#VALUE!</v>
      </c>
      <c r="B203" t="e">
        <f t="shared" si="43"/>
        <v>#VALUE!</v>
      </c>
      <c r="C203" s="152">
        <f>'Sign-On'!A206</f>
        <v>196</v>
      </c>
      <c r="D203" s="142" t="str">
        <f>'Sign-On'!B206</f>
        <v/>
      </c>
      <c r="E203" s="142" t="str">
        <f>'Sign-On'!D206</f>
        <v/>
      </c>
      <c r="F203" s="142" t="str">
        <f>'Sign-On'!H206</f>
        <v/>
      </c>
      <c r="G203" s="143" t="str">
        <f>'Sign-On'!F206</f>
        <v/>
      </c>
      <c r="H203" s="153">
        <f t="shared" si="50"/>
        <v>0.39305555555555549</v>
      </c>
      <c r="I203" s="154"/>
      <c r="J203" s="155" t="str">
        <f t="shared" si="44"/>
        <v/>
      </c>
      <c r="K203" s="189" t="str">
        <f t="shared" si="45"/>
        <v/>
      </c>
      <c r="L203" s="155" t="str">
        <f t="shared" si="41"/>
        <v/>
      </c>
      <c r="M203" s="155" t="str">
        <f t="shared" si="46"/>
        <v/>
      </c>
      <c r="N203" s="189" t="str">
        <f t="shared" si="47"/>
        <v/>
      </c>
      <c r="O203" s="155" t="str">
        <f t="shared" si="42"/>
        <v/>
      </c>
      <c r="P203" s="145" t="str">
        <f t="shared" si="48"/>
        <v/>
      </c>
      <c r="Q203" s="230" t="str">
        <f t="shared" si="49"/>
        <v/>
      </c>
      <c r="R203" s="228"/>
    </row>
    <row r="204" spans="1:18">
      <c r="A204" t="e">
        <f t="shared" si="51"/>
        <v>#VALUE!</v>
      </c>
      <c r="B204" t="e">
        <f t="shared" si="43"/>
        <v>#VALUE!</v>
      </c>
      <c r="C204" s="152">
        <f>'Sign-On'!A207</f>
        <v>197</v>
      </c>
      <c r="D204" s="142" t="str">
        <f>'Sign-On'!B207</f>
        <v/>
      </c>
      <c r="E204" s="142" t="str">
        <f>'Sign-On'!D207</f>
        <v/>
      </c>
      <c r="F204" s="142" t="str">
        <f>'Sign-On'!H207</f>
        <v/>
      </c>
      <c r="G204" s="143" t="str">
        <f>'Sign-On'!F207</f>
        <v/>
      </c>
      <c r="H204" s="153">
        <f t="shared" si="50"/>
        <v>0.39374999999999993</v>
      </c>
      <c r="I204" s="154"/>
      <c r="J204" s="155" t="str">
        <f t="shared" si="44"/>
        <v/>
      </c>
      <c r="K204" s="189" t="str">
        <f t="shared" si="45"/>
        <v/>
      </c>
      <c r="L204" s="155" t="str">
        <f t="shared" si="41"/>
        <v/>
      </c>
      <c r="M204" s="155" t="str">
        <f t="shared" si="46"/>
        <v/>
      </c>
      <c r="N204" s="189" t="str">
        <f t="shared" si="47"/>
        <v/>
      </c>
      <c r="O204" s="155" t="str">
        <f t="shared" si="42"/>
        <v/>
      </c>
      <c r="P204" s="145" t="str">
        <f t="shared" si="48"/>
        <v/>
      </c>
      <c r="Q204" s="230" t="str">
        <f t="shared" si="49"/>
        <v/>
      </c>
      <c r="R204" s="228"/>
    </row>
    <row r="205" spans="1:18">
      <c r="A205" t="e">
        <f t="shared" si="51"/>
        <v>#VALUE!</v>
      </c>
      <c r="B205" t="e">
        <f t="shared" si="43"/>
        <v>#VALUE!</v>
      </c>
      <c r="C205" s="152">
        <f>'Sign-On'!A208</f>
        <v>198</v>
      </c>
      <c r="D205" s="142" t="str">
        <f>'Sign-On'!B208</f>
        <v/>
      </c>
      <c r="E205" s="142" t="str">
        <f>'Sign-On'!D208</f>
        <v/>
      </c>
      <c r="F205" s="142" t="str">
        <f>'Sign-On'!H208</f>
        <v/>
      </c>
      <c r="G205" s="143" t="str">
        <f>'Sign-On'!F208</f>
        <v/>
      </c>
      <c r="H205" s="153">
        <f t="shared" si="50"/>
        <v>0.39444444444444438</v>
      </c>
      <c r="I205" s="154"/>
      <c r="J205" s="155" t="str">
        <f>IF(I205="","",ROUND(I205-H205,14))</f>
        <v/>
      </c>
      <c r="K205" s="189" t="str">
        <f t="shared" si="45"/>
        <v/>
      </c>
      <c r="L205" s="155" t="str">
        <f t="shared" si="41"/>
        <v/>
      </c>
      <c r="M205" s="155" t="str">
        <f t="shared" si="46"/>
        <v/>
      </c>
      <c r="N205" s="189" t="str">
        <f t="shared" si="47"/>
        <v/>
      </c>
      <c r="O205" s="155" t="str">
        <f t="shared" si="42"/>
        <v/>
      </c>
      <c r="P205" s="145" t="str">
        <f t="shared" si="48"/>
        <v/>
      </c>
      <c r="Q205" s="230" t="str">
        <f t="shared" si="49"/>
        <v/>
      </c>
      <c r="R205" s="228"/>
    </row>
    <row r="206" spans="1:18">
      <c r="A206" t="e">
        <f t="shared" si="51"/>
        <v>#VALUE!</v>
      </c>
      <c r="B206" t="e">
        <f t="shared" si="43"/>
        <v>#VALUE!</v>
      </c>
      <c r="C206" s="152">
        <f>'Sign-On'!A209</f>
        <v>199</v>
      </c>
      <c r="D206" s="142" t="str">
        <f>'Sign-On'!B209</f>
        <v/>
      </c>
      <c r="E206" s="142" t="str">
        <f>'Sign-On'!D209</f>
        <v/>
      </c>
      <c r="F206" s="142" t="str">
        <f>'Sign-On'!H209</f>
        <v/>
      </c>
      <c r="G206" s="143" t="str">
        <f>'Sign-On'!F209</f>
        <v/>
      </c>
      <c r="H206" s="153">
        <f t="shared" si="50"/>
        <v>0.39513888888888882</v>
      </c>
      <c r="I206" s="154"/>
      <c r="J206" s="155" t="str">
        <f>IF(I206="","",ROUND(I206-H206,14))</f>
        <v/>
      </c>
      <c r="K206" s="189" t="str">
        <f t="shared" si="45"/>
        <v/>
      </c>
      <c r="L206" s="155" t="str">
        <f t="shared" si="41"/>
        <v/>
      </c>
      <c r="M206" s="155" t="str">
        <f t="shared" si="46"/>
        <v/>
      </c>
      <c r="N206" s="189" t="str">
        <f t="shared" si="47"/>
        <v/>
      </c>
      <c r="O206" s="155" t="str">
        <f t="shared" si="42"/>
        <v/>
      </c>
      <c r="P206" s="145" t="str">
        <f t="shared" si="48"/>
        <v/>
      </c>
      <c r="Q206" s="230" t="str">
        <f t="shared" si="49"/>
        <v/>
      </c>
      <c r="R206" s="228"/>
    </row>
    <row r="207" spans="1:18">
      <c r="A207" t="e">
        <f t="shared" si="51"/>
        <v>#VALUE!</v>
      </c>
      <c r="B207" t="e">
        <f t="shared" si="43"/>
        <v>#VALUE!</v>
      </c>
      <c r="C207" s="152">
        <f>'Sign-On'!A210</f>
        <v>200</v>
      </c>
      <c r="D207" s="142" t="str">
        <f>'Sign-On'!B210</f>
        <v/>
      </c>
      <c r="E207" s="142" t="str">
        <f>'Sign-On'!D210</f>
        <v/>
      </c>
      <c r="F207" s="142" t="str">
        <f>'Sign-On'!H210</f>
        <v/>
      </c>
      <c r="G207" s="143" t="str">
        <f>'Sign-On'!F210</f>
        <v/>
      </c>
      <c r="H207" s="153">
        <f t="shared" si="50"/>
        <v>0.39583333333333326</v>
      </c>
      <c r="I207" s="154"/>
      <c r="J207" s="155" t="str">
        <f>IF(I207="","",ROUND(I207-H207,14))</f>
        <v/>
      </c>
      <c r="K207" s="189" t="str">
        <f t="shared" si="45"/>
        <v/>
      </c>
      <c r="L207" s="155" t="str">
        <f t="shared" si="41"/>
        <v/>
      </c>
      <c r="M207" s="155" t="str">
        <f t="shared" si="46"/>
        <v/>
      </c>
      <c r="N207" s="189" t="str">
        <f t="shared" si="47"/>
        <v/>
      </c>
      <c r="O207" s="155" t="str">
        <f t="shared" si="42"/>
        <v/>
      </c>
      <c r="P207" s="145" t="str">
        <f t="shared" si="48"/>
        <v/>
      </c>
      <c r="Q207" s="230" t="str">
        <f t="shared" si="49"/>
        <v/>
      </c>
      <c r="R207" s="229"/>
    </row>
  </sheetData>
  <sheetProtection password="BC93" sheet="1" objects="1" scenarios="1"/>
  <mergeCells count="1">
    <mergeCell ref="C3:D3"/>
  </mergeCells>
  <phoneticPr fontId="26" type="noConversion"/>
  <dataValidations count="1">
    <dataValidation type="list" allowBlank="1" showInputMessage="1" showErrorMessage="1" errorTitle="ERROR" error="If gear has been validated select Gear. If a non-finisher select DNF, if non-starter select DNS." prompt="If gear has been validated select Gear. If non-finisher select DNF and non-starter select DNS." sqref="R8:R157" xr:uid="{00000000-0002-0000-0300-000000000000}">
      <formula1>"Gear,DNF,DNS"</formula1>
    </dataValidation>
  </dataValidations>
  <printOptions horizontalCentered="1"/>
  <pageMargins left="0.23622047244094491" right="0.23622047244094491" top="0.55118110236220474" bottom="0.55118110236220474"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10"/>
  </sheetPr>
  <dimension ref="A1:AR212"/>
  <sheetViews>
    <sheetView showGridLines="0" topLeftCell="D5" zoomScaleNormal="100" workbookViewId="0">
      <selection activeCell="AA13" sqref="AA13"/>
    </sheetView>
  </sheetViews>
  <sheetFormatPr defaultRowHeight="13.15"/>
  <cols>
    <col min="1" max="1" width="5.28515625" hidden="1" customWidth="1"/>
    <col min="2" max="2" width="4.85546875" hidden="1" customWidth="1"/>
    <col min="3" max="3" width="2.7109375" hidden="1" customWidth="1"/>
    <col min="4" max="8" width="2.7109375" customWidth="1"/>
    <col min="9" max="19" width="2.42578125" customWidth="1"/>
    <col min="20" max="20" width="3.7109375" customWidth="1"/>
    <col min="21" max="24" width="2.42578125" customWidth="1"/>
    <col min="25" max="27" width="2.7109375" customWidth="1"/>
    <col min="28" max="29" width="2.85546875" customWidth="1"/>
    <col min="30" max="40" width="2.7109375" customWidth="1"/>
    <col min="41" max="41" width="2" customWidth="1"/>
    <col min="42" max="58" width="2.7109375" customWidth="1"/>
  </cols>
  <sheetData>
    <row r="1" spans="1:44" ht="50.25" customHeight="1">
      <c r="I1" s="329" t="s">
        <v>89</v>
      </c>
      <c r="J1" s="329"/>
      <c r="K1" s="329"/>
      <c r="L1" s="329"/>
      <c r="M1" s="329"/>
      <c r="N1" s="329"/>
      <c r="O1" s="329"/>
      <c r="P1" s="329"/>
      <c r="Q1" s="329"/>
      <c r="R1" s="329"/>
      <c r="S1" s="329"/>
      <c r="T1" s="329"/>
      <c r="U1" s="329"/>
      <c r="V1" s="329"/>
      <c r="W1" s="329"/>
      <c r="X1" s="329"/>
      <c r="Y1" s="329"/>
      <c r="Z1" s="329"/>
      <c r="AA1" s="329"/>
      <c r="AB1" s="329"/>
      <c r="AC1" s="329"/>
      <c r="AD1" s="329"/>
      <c r="AE1" s="329"/>
      <c r="AR1" s="7"/>
    </row>
    <row r="2" spans="1:44" ht="12.75" customHeight="1">
      <c r="J2" s="2"/>
    </row>
    <row r="3" spans="1:44">
      <c r="I3" s="3" t="s">
        <v>90</v>
      </c>
      <c r="K3" s="322" t="str">
        <f>(IF(FacingSheet!B8="","",FacingSheet!B8))</f>
        <v>Ronnie MacDonald 10 mile TT</v>
      </c>
      <c r="L3" s="322"/>
      <c r="M3" s="322"/>
      <c r="N3" s="322"/>
      <c r="O3" s="322"/>
      <c r="P3" s="322"/>
      <c r="Q3" s="322"/>
      <c r="R3" s="322"/>
      <c r="S3" s="322"/>
      <c r="Y3" s="3" t="s">
        <v>26</v>
      </c>
      <c r="AA3" s="322" t="str">
        <f>(IF(FacingSheet!B14="","",FacingSheet!B14))</f>
        <v/>
      </c>
      <c r="AB3" s="322"/>
      <c r="AC3" s="322"/>
      <c r="AD3" s="322"/>
      <c r="AE3" s="322"/>
      <c r="AF3" s="322"/>
      <c r="AG3" s="322"/>
      <c r="AH3" s="322"/>
      <c r="AI3" s="322"/>
    </row>
    <row r="4" spans="1:44">
      <c r="I4" s="3" t="s">
        <v>91</v>
      </c>
      <c r="K4" s="323">
        <f>IF(ISERROR(FacingSheet!S9),"",FacingSheet!S9)</f>
        <v>45907</v>
      </c>
      <c r="L4" s="324"/>
      <c r="M4" s="324"/>
      <c r="N4" s="324"/>
      <c r="O4" s="324"/>
      <c r="P4" s="324"/>
      <c r="Q4" s="324"/>
      <c r="R4" s="324"/>
      <c r="S4" s="324"/>
      <c r="Y4" s="34" t="s">
        <v>24</v>
      </c>
      <c r="AA4" s="322" t="str">
        <f>(IF(FacingSheet!B13="","",FacingSheet!B13))</f>
        <v>A9</v>
      </c>
      <c r="AB4" s="322"/>
      <c r="AC4" s="322"/>
      <c r="AD4" s="322"/>
      <c r="AE4" s="322"/>
      <c r="AF4" s="322"/>
      <c r="AG4" s="322"/>
      <c r="AH4" s="322"/>
      <c r="AI4" s="322"/>
    </row>
    <row r="5" spans="1:44">
      <c r="I5" s="34" t="s">
        <v>92</v>
      </c>
      <c r="K5" s="325">
        <f>IF(FacingSheet!B11="",FacingSheet!B12,FacingSheet!B11)</f>
        <v>10</v>
      </c>
      <c r="L5" s="325"/>
      <c r="M5" s="326" t="s">
        <v>93</v>
      </c>
      <c r="N5" s="327"/>
      <c r="O5" s="327"/>
      <c r="P5" s="44"/>
      <c r="Q5" s="44"/>
      <c r="R5" s="44"/>
      <c r="S5" s="44"/>
      <c r="Y5" s="3" t="s">
        <v>30</v>
      </c>
      <c r="AA5" s="322" t="str">
        <f>(IF(FacingSheet!B17="","",FacingSheet!B17))</f>
        <v>Gavin Clarke</v>
      </c>
      <c r="AB5" s="322"/>
      <c r="AC5" s="322"/>
      <c r="AD5" s="322"/>
      <c r="AE5" s="322"/>
      <c r="AF5" s="322"/>
      <c r="AG5" s="322"/>
      <c r="AH5" s="322"/>
      <c r="AI5" s="322"/>
    </row>
    <row r="6" spans="1:44">
      <c r="I6" s="34" t="s">
        <v>27</v>
      </c>
      <c r="K6" s="321" t="str">
        <f>(IF(FacingSheet!B15="","",FacingSheet!B15))</f>
        <v>James Robertson</v>
      </c>
      <c r="L6" s="321"/>
      <c r="M6" s="321"/>
      <c r="N6" s="321"/>
      <c r="O6" s="321"/>
      <c r="P6" s="321"/>
      <c r="Q6" s="321"/>
      <c r="R6" s="321"/>
      <c r="S6" s="321"/>
      <c r="Y6" s="34" t="s">
        <v>94</v>
      </c>
      <c r="AA6" s="321">
        <f>(IF(FacingSheet!B16="","",FacingSheet!B16))</f>
        <v>7713506988</v>
      </c>
      <c r="AB6" s="321"/>
      <c r="AC6" s="321"/>
      <c r="AD6" s="321"/>
      <c r="AE6" s="321"/>
      <c r="AF6" s="321"/>
      <c r="AG6" s="321"/>
      <c r="AH6" s="321"/>
      <c r="AI6" s="321"/>
    </row>
    <row r="7" spans="1:44">
      <c r="I7" s="3" t="s">
        <v>32</v>
      </c>
      <c r="K7" s="322" t="str">
        <f>(IF(FacingSheet!B18="","",FacingSheet!B18))</f>
        <v>Lesley-anne Robertson</v>
      </c>
      <c r="L7" s="322"/>
      <c r="M7" s="322"/>
      <c r="N7" s="322"/>
      <c r="O7" s="322"/>
      <c r="P7" s="322"/>
      <c r="Q7" s="322"/>
      <c r="R7" s="322"/>
      <c r="S7" s="322"/>
      <c r="Y7" s="3" t="s">
        <v>36</v>
      </c>
      <c r="AA7" s="322" t="str">
        <f>(IF(FacingSheet!B21="","",FacingSheet!B21))</f>
        <v>Sam Inch</v>
      </c>
      <c r="AB7" s="322"/>
      <c r="AC7" s="322"/>
      <c r="AD7" s="322"/>
      <c r="AE7" s="322"/>
      <c r="AF7" s="322"/>
      <c r="AG7" s="322"/>
      <c r="AH7" s="322"/>
      <c r="AI7" s="322"/>
    </row>
    <row r="8" spans="1:44">
      <c r="I8" s="3" t="s">
        <v>95</v>
      </c>
      <c r="K8" s="322" t="str">
        <f>(IF(FacingSheet!B19="","",FacingSheet!B19))</f>
        <v/>
      </c>
      <c r="L8" s="322"/>
      <c r="M8" s="322"/>
      <c r="N8" s="322"/>
      <c r="O8" s="322"/>
      <c r="P8" s="322"/>
      <c r="Q8" s="322"/>
      <c r="R8" s="322"/>
      <c r="S8" s="322"/>
      <c r="Y8" s="3" t="s">
        <v>95</v>
      </c>
      <c r="AA8" s="322" t="str">
        <f>(IF(FacingSheet!B22="","",FacingSheet!B22))</f>
        <v/>
      </c>
      <c r="AB8" s="322"/>
      <c r="AC8" s="322"/>
      <c r="AD8" s="322"/>
      <c r="AE8" s="322"/>
      <c r="AF8" s="322"/>
      <c r="AG8" s="322"/>
      <c r="AH8" s="322"/>
      <c r="AI8" s="322"/>
    </row>
    <row r="9" spans="1:44">
      <c r="I9" s="3" t="s">
        <v>95</v>
      </c>
      <c r="K9" s="322" t="str">
        <f>(IF(FacingSheet!B20="","",FacingSheet!B20))</f>
        <v/>
      </c>
      <c r="L9" s="322"/>
      <c r="M9" s="322"/>
      <c r="N9" s="322"/>
      <c r="O9" s="322"/>
      <c r="P9" s="322"/>
      <c r="Q9" s="322"/>
      <c r="R9" s="322"/>
      <c r="S9" s="322"/>
      <c r="Y9" s="3" t="s">
        <v>95</v>
      </c>
      <c r="AA9" s="322" t="str">
        <f>(IF(FacingSheet!B23="","",FacingSheet!B23))</f>
        <v/>
      </c>
      <c r="AB9" s="322"/>
      <c r="AC9" s="322"/>
      <c r="AD9" s="322"/>
      <c r="AE9" s="322"/>
      <c r="AF9" s="322"/>
      <c r="AG9" s="322"/>
      <c r="AH9" s="322"/>
      <c r="AI9" s="322"/>
    </row>
    <row r="10" spans="1:44" ht="6.75" customHeight="1">
      <c r="E10" s="28"/>
      <c r="F10" s="28"/>
      <c r="G10" s="28"/>
      <c r="H10" s="28"/>
      <c r="I10" s="67"/>
      <c r="J10" s="28"/>
      <c r="K10" s="28"/>
      <c r="L10" s="28"/>
      <c r="M10" s="28"/>
      <c r="N10" s="28"/>
      <c r="O10" s="28"/>
      <c r="P10" s="28"/>
      <c r="Q10" s="28"/>
      <c r="R10" s="28"/>
      <c r="S10" s="28"/>
      <c r="T10" s="28"/>
      <c r="U10" s="28"/>
      <c r="V10" s="28"/>
      <c r="W10" s="28"/>
      <c r="X10" s="28"/>
      <c r="Y10" s="67"/>
      <c r="Z10" s="28"/>
      <c r="AA10" s="28"/>
      <c r="AB10" s="28"/>
      <c r="AC10" s="28"/>
      <c r="AD10" s="28"/>
      <c r="AE10" s="28"/>
      <c r="AF10" s="28"/>
      <c r="AG10" s="28"/>
      <c r="AH10" s="28"/>
      <c r="AI10" s="28"/>
    </row>
    <row r="11" spans="1:44" ht="29.25" customHeight="1">
      <c r="E11" s="28"/>
      <c r="G11" s="102"/>
      <c r="H11" s="101" t="s">
        <v>96</v>
      </c>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H11" s="102"/>
      <c r="AI11" s="102"/>
    </row>
    <row r="12" spans="1:44" ht="25.5" customHeight="1">
      <c r="A12" s="12" t="s">
        <v>79</v>
      </c>
      <c r="B12" s="12"/>
      <c r="D12" s="319" t="s">
        <v>97</v>
      </c>
      <c r="E12" s="319"/>
      <c r="F12" s="319" t="s">
        <v>69</v>
      </c>
      <c r="G12" s="319"/>
      <c r="H12" s="319"/>
      <c r="I12" s="5" t="s">
        <v>41</v>
      </c>
      <c r="J12" s="4"/>
      <c r="L12" s="4"/>
      <c r="M12" s="4"/>
      <c r="N12" s="4"/>
      <c r="O12" s="4"/>
      <c r="P12" s="4"/>
      <c r="Q12" s="5" t="s">
        <v>98</v>
      </c>
      <c r="S12" s="4"/>
      <c r="T12" s="4"/>
      <c r="U12" s="4"/>
      <c r="V12" s="4"/>
      <c r="W12" s="4"/>
      <c r="X12" s="4"/>
      <c r="Y12" s="5" t="s">
        <v>43</v>
      </c>
      <c r="AA12" s="6" t="s">
        <v>99</v>
      </c>
      <c r="AB12" s="6" t="s">
        <v>100</v>
      </c>
      <c r="AC12" s="6" t="s">
        <v>58</v>
      </c>
      <c r="AE12" s="6" t="s">
        <v>101</v>
      </c>
      <c r="AG12" s="4"/>
      <c r="AH12" s="319" t="s">
        <v>88</v>
      </c>
      <c r="AI12" s="320"/>
      <c r="AJ12" s="360"/>
      <c r="AK12" s="360"/>
    </row>
    <row r="13" spans="1:44" ht="15" customHeight="1">
      <c r="A13" s="35" t="str">
        <f>IF(ISERROR(RANK(B13,$B$13:$B$212,1)),"",RANK(B13,$B$13:$B$212,1))</f>
        <v/>
      </c>
      <c r="B13" s="65" t="str">
        <f>IF(AD13="","",AD13 + 0.000000001 * ROW())</f>
        <v/>
      </c>
      <c r="C13" s="112"/>
      <c r="D13" s="317">
        <v>1</v>
      </c>
      <c r="E13" s="318"/>
      <c r="F13" s="318" t="str">
        <f>IF('Sign-On'!H11="","",'Sign-On'!H11)</f>
        <v/>
      </c>
      <c r="G13" s="318"/>
      <c r="H13" s="318"/>
      <c r="I13" s="361" t="str">
        <f>IF('Sign-On'!B11="","",'Sign-On'!B11)</f>
        <v/>
      </c>
      <c r="J13" s="361"/>
      <c r="K13" s="361"/>
      <c r="L13" s="361"/>
      <c r="M13" s="361"/>
      <c r="N13" s="361"/>
      <c r="O13" s="361"/>
      <c r="P13" s="361"/>
      <c r="Q13" s="361" t="str">
        <f>IF('Sign-On'!D11="","",'Sign-On'!D11)</f>
        <v/>
      </c>
      <c r="R13" s="361"/>
      <c r="S13" s="361"/>
      <c r="T13" s="361"/>
      <c r="U13" s="361"/>
      <c r="V13" s="361"/>
      <c r="W13" s="361"/>
      <c r="X13" s="361"/>
      <c r="Y13" s="318" t="str">
        <f>IF('Sign-On'!F11="","",'Sign-On'!F11)</f>
        <v/>
      </c>
      <c r="Z13" s="318"/>
      <c r="AA13" s="259"/>
      <c r="AB13" s="259"/>
      <c r="AC13" s="259"/>
      <c r="AD13" s="328" t="str">
        <f>IF(AB13="","",IF(OR(AB13&gt;59,AC13&gt;59),"ERROR",((AA13*3600)+(AB13*60)+AC13)/86400))</f>
        <v/>
      </c>
      <c r="AE13" s="361"/>
      <c r="AF13" s="361"/>
      <c r="AG13" s="361"/>
      <c r="AH13" s="330"/>
      <c r="AI13" s="331"/>
      <c r="AJ13" s="316"/>
      <c r="AK13" s="316"/>
    </row>
    <row r="14" spans="1:44" ht="15" customHeight="1">
      <c r="A14" s="35" t="str">
        <f t="shared" ref="A14:A77" si="0">IF(ISERROR(RANK(B14,$B$13:$B$212,1)),"",RANK(B14,$B$13:$B$212,1))</f>
        <v/>
      </c>
      <c r="B14" s="65" t="str">
        <f t="shared" ref="B14:B77" si="1">IF(AD14="","",AD14 + 0.000000001 * ROW())</f>
        <v/>
      </c>
      <c r="C14" s="112"/>
      <c r="D14" s="315">
        <v>2</v>
      </c>
      <c r="E14" s="314"/>
      <c r="F14" s="314" t="str">
        <f>IF('Sign-On'!H12="","",'Sign-On'!H12)</f>
        <v>1062018</v>
      </c>
      <c r="G14" s="314"/>
      <c r="H14" s="314"/>
      <c r="I14" s="362" t="str">
        <f>IF('Sign-On'!B12="","",'Sign-On'!B12)</f>
        <v>Stan MacKenzie</v>
      </c>
      <c r="J14" s="362"/>
      <c r="K14" s="362"/>
      <c r="L14" s="362"/>
      <c r="M14" s="362"/>
      <c r="N14" s="362"/>
      <c r="O14" s="362"/>
      <c r="P14" s="362"/>
      <c r="Q14" s="362" t="str">
        <f>IF('Sign-On'!D12="","",'Sign-On'!D12)</f>
        <v>Ross-Shire RCC</v>
      </c>
      <c r="R14" s="362"/>
      <c r="S14" s="362"/>
      <c r="T14" s="362"/>
      <c r="U14" s="362"/>
      <c r="V14" s="362"/>
      <c r="W14" s="362"/>
      <c r="X14" s="362"/>
      <c r="Y14" s="314" t="str">
        <f>IF('Sign-On'!F12="","",'Sign-On'!F12)</f>
        <v>V</v>
      </c>
      <c r="Z14" s="314"/>
      <c r="AA14" s="258"/>
      <c r="AB14" s="258"/>
      <c r="AC14" s="258"/>
      <c r="AD14" s="313" t="str">
        <f t="shared" ref="AD14:AD33" si="2">IF(AB14="","",IF(OR(AB14&gt;59,AC14&gt;59),"ERROR",((AA14*3600)+(AB14*60)+AC14)/86400))</f>
        <v/>
      </c>
      <c r="AE14" s="362"/>
      <c r="AF14" s="362"/>
      <c r="AG14" s="362"/>
      <c r="AH14" s="306"/>
      <c r="AI14" s="307"/>
      <c r="AJ14" s="316"/>
      <c r="AK14" s="316"/>
    </row>
    <row r="15" spans="1:44" ht="15" customHeight="1">
      <c r="A15" s="35" t="str">
        <f t="shared" si="0"/>
        <v/>
      </c>
      <c r="B15" s="65" t="str">
        <f t="shared" si="1"/>
        <v/>
      </c>
      <c r="C15" s="112"/>
      <c r="D15" s="315">
        <v>3</v>
      </c>
      <c r="E15" s="314"/>
      <c r="F15" s="314" t="str">
        <f>IF('Sign-On'!H13="","",'Sign-On'!H13)</f>
        <v>955248</v>
      </c>
      <c r="G15" s="314"/>
      <c r="H15" s="314"/>
      <c r="I15" s="362" t="str">
        <f>IF('Sign-On'!B13="","",'Sign-On'!B13)</f>
        <v>Alan Horsburgh</v>
      </c>
      <c r="J15" s="362"/>
      <c r="K15" s="362"/>
      <c r="L15" s="362"/>
      <c r="M15" s="362"/>
      <c r="N15" s="362"/>
      <c r="O15" s="362"/>
      <c r="P15" s="362"/>
      <c r="Q15" s="362" t="str">
        <f>IF('Sign-On'!D13="","",'Sign-On'!D13)</f>
        <v>Inverness Cycle Club</v>
      </c>
      <c r="R15" s="362"/>
      <c r="S15" s="362"/>
      <c r="T15" s="362"/>
      <c r="U15" s="362"/>
      <c r="V15" s="362"/>
      <c r="W15" s="362"/>
      <c r="X15" s="362"/>
      <c r="Y15" s="314" t="str">
        <f>IF('Sign-On'!F13="","",'Sign-On'!F13)</f>
        <v>V</v>
      </c>
      <c r="Z15" s="314"/>
      <c r="AA15" s="258"/>
      <c r="AB15" s="258"/>
      <c r="AC15" s="258"/>
      <c r="AD15" s="313" t="str">
        <f t="shared" si="2"/>
        <v/>
      </c>
      <c r="AE15" s="362"/>
      <c r="AF15" s="362"/>
      <c r="AG15" s="362"/>
      <c r="AH15" s="306"/>
      <c r="AI15" s="307"/>
      <c r="AJ15" s="316"/>
      <c r="AK15" s="316"/>
    </row>
    <row r="16" spans="1:44" ht="15" customHeight="1">
      <c r="A16" s="35" t="str">
        <f t="shared" si="0"/>
        <v/>
      </c>
      <c r="B16" s="65" t="str">
        <f t="shared" si="1"/>
        <v/>
      </c>
      <c r="C16" s="112"/>
      <c r="D16" s="315">
        <v>4</v>
      </c>
      <c r="E16" s="314"/>
      <c r="F16" s="314" t="str">
        <f>IF('Sign-On'!H14="","",'Sign-On'!H14)</f>
        <v>1856912</v>
      </c>
      <c r="G16" s="314"/>
      <c r="H16" s="314"/>
      <c r="I16" s="362" t="str">
        <f>IF('Sign-On'!B14="","",'Sign-On'!B14)</f>
        <v>Matthew Jones</v>
      </c>
      <c r="J16" s="362"/>
      <c r="K16" s="362"/>
      <c r="L16" s="362"/>
      <c r="M16" s="362"/>
      <c r="N16" s="362"/>
      <c r="O16" s="362"/>
      <c r="P16" s="362"/>
      <c r="Q16" s="362" t="str">
        <f>IF('Sign-On'!D14="","",'Sign-On'!D14)</f>
        <v>Ross-Shire RCC</v>
      </c>
      <c r="R16" s="362"/>
      <c r="S16" s="362"/>
      <c r="T16" s="362"/>
      <c r="U16" s="362"/>
      <c r="V16" s="362"/>
      <c r="W16" s="362"/>
      <c r="X16" s="362"/>
      <c r="Y16" s="314" t="str">
        <f>IF('Sign-On'!F14="","",'Sign-On'!F14)</f>
        <v>V</v>
      </c>
      <c r="Z16" s="314"/>
      <c r="AA16" s="258"/>
      <c r="AB16" s="258"/>
      <c r="AC16" s="258"/>
      <c r="AD16" s="313" t="str">
        <f t="shared" si="2"/>
        <v/>
      </c>
      <c r="AE16" s="362"/>
      <c r="AF16" s="362"/>
      <c r="AG16" s="362"/>
      <c r="AH16" s="306"/>
      <c r="AI16" s="307"/>
      <c r="AJ16" s="316"/>
      <c r="AK16" s="316"/>
    </row>
    <row r="17" spans="1:37" ht="15" customHeight="1">
      <c r="A17" s="35" t="str">
        <f t="shared" si="0"/>
        <v/>
      </c>
      <c r="B17" s="65" t="str">
        <f t="shared" si="1"/>
        <v/>
      </c>
      <c r="C17" s="112"/>
      <c r="D17" s="315">
        <v>5</v>
      </c>
      <c r="E17" s="314"/>
      <c r="F17" s="314" t="str">
        <f>IF('Sign-On'!H15="","",'Sign-On'!H15)</f>
        <v>1423884</v>
      </c>
      <c r="G17" s="314"/>
      <c r="H17" s="314"/>
      <c r="I17" s="362" t="str">
        <f>IF('Sign-On'!B15="","",'Sign-On'!B15)</f>
        <v>Daniel Sutherland</v>
      </c>
      <c r="J17" s="362"/>
      <c r="K17" s="362"/>
      <c r="L17" s="362"/>
      <c r="M17" s="362"/>
      <c r="N17" s="362"/>
      <c r="O17" s="362"/>
      <c r="P17" s="362"/>
      <c r="Q17" s="362" t="str">
        <f>IF('Sign-On'!D15="","",'Sign-On'!D15)</f>
        <v>Moray Firth Cycling Club</v>
      </c>
      <c r="R17" s="362"/>
      <c r="S17" s="362"/>
      <c r="T17" s="362"/>
      <c r="U17" s="362"/>
      <c r="V17" s="362"/>
      <c r="W17" s="362"/>
      <c r="X17" s="362"/>
      <c r="Y17" s="314" t="str">
        <f>IF('Sign-On'!F15="","",'Sign-On'!F15)</f>
        <v>V</v>
      </c>
      <c r="Z17" s="314"/>
      <c r="AA17" s="258"/>
      <c r="AB17" s="258"/>
      <c r="AC17" s="258"/>
      <c r="AD17" s="313" t="str">
        <f t="shared" si="2"/>
        <v/>
      </c>
      <c r="AE17" s="362"/>
      <c r="AF17" s="362"/>
      <c r="AG17" s="362"/>
      <c r="AH17" s="306"/>
      <c r="AI17" s="307"/>
      <c r="AJ17" s="316"/>
      <c r="AK17" s="316"/>
    </row>
    <row r="18" spans="1:37" ht="15" customHeight="1">
      <c r="A18" s="35" t="str">
        <f t="shared" si="0"/>
        <v/>
      </c>
      <c r="B18" s="65" t="str">
        <f t="shared" si="1"/>
        <v/>
      </c>
      <c r="C18" s="112"/>
      <c r="D18" s="315">
        <v>6</v>
      </c>
      <c r="E18" s="314"/>
      <c r="F18" s="314" t="str">
        <f>IF('Sign-On'!H16="","",'Sign-On'!H16)</f>
        <v/>
      </c>
      <c r="G18" s="314"/>
      <c r="H18" s="314"/>
      <c r="I18" s="362" t="str">
        <f>IF('Sign-On'!B16="","",'Sign-On'!B16)</f>
        <v>julie cleghorn</v>
      </c>
      <c r="J18" s="362"/>
      <c r="K18" s="362"/>
      <c r="L18" s="362"/>
      <c r="M18" s="362"/>
      <c r="N18" s="362"/>
      <c r="O18" s="362"/>
      <c r="P18" s="362"/>
      <c r="Q18" s="362" t="str">
        <f>IF('Sign-On'!D16="","",'Sign-On'!D16)</f>
        <v>Ross-Shire RCC</v>
      </c>
      <c r="R18" s="362"/>
      <c r="S18" s="362"/>
      <c r="T18" s="362"/>
      <c r="U18" s="362"/>
      <c r="V18" s="362"/>
      <c r="W18" s="362"/>
      <c r="X18" s="362"/>
      <c r="Y18" s="314" t="str">
        <f>IF('Sign-On'!F16="","",'Sign-On'!F16)</f>
        <v>FV</v>
      </c>
      <c r="Z18" s="314"/>
      <c r="AA18" s="258"/>
      <c r="AB18" s="258"/>
      <c r="AC18" s="258"/>
      <c r="AD18" s="313" t="str">
        <f t="shared" si="2"/>
        <v/>
      </c>
      <c r="AE18" s="362"/>
      <c r="AF18" s="362"/>
      <c r="AG18" s="362"/>
      <c r="AH18" s="306"/>
      <c r="AI18" s="307"/>
      <c r="AJ18" s="316"/>
      <c r="AK18" s="316"/>
    </row>
    <row r="19" spans="1:37" ht="15" customHeight="1">
      <c r="A19" s="35" t="str">
        <f t="shared" si="0"/>
        <v/>
      </c>
      <c r="B19" s="65" t="str">
        <f t="shared" si="1"/>
        <v/>
      </c>
      <c r="C19" s="112"/>
      <c r="D19" s="315">
        <v>7</v>
      </c>
      <c r="E19" s="314"/>
      <c r="F19" s="314" t="str">
        <f>IF('Sign-On'!H17="","",'Sign-On'!H17)</f>
        <v>1359206</v>
      </c>
      <c r="G19" s="314"/>
      <c r="H19" s="314"/>
      <c r="I19" s="362" t="str">
        <f>IF('Sign-On'!B17="","",'Sign-On'!B17)</f>
        <v>Jonathan Forbes</v>
      </c>
      <c r="J19" s="362"/>
      <c r="K19" s="362"/>
      <c r="L19" s="362"/>
      <c r="M19" s="362"/>
      <c r="N19" s="362"/>
      <c r="O19" s="362"/>
      <c r="P19" s="362"/>
      <c r="Q19" s="362" t="str">
        <f>IF('Sign-On'!D17="","",'Sign-On'!D17)</f>
        <v>Ross-Shire RCC</v>
      </c>
      <c r="R19" s="362"/>
      <c r="S19" s="362"/>
      <c r="T19" s="362"/>
      <c r="U19" s="362"/>
      <c r="V19" s="362"/>
      <c r="W19" s="362"/>
      <c r="X19" s="362"/>
      <c r="Y19" s="314" t="str">
        <f>IF('Sign-On'!F17="","",'Sign-On'!F17)</f>
        <v>S</v>
      </c>
      <c r="Z19" s="314"/>
      <c r="AA19" s="258"/>
      <c r="AB19" s="258"/>
      <c r="AC19" s="258"/>
      <c r="AD19" s="313" t="str">
        <f t="shared" si="2"/>
        <v/>
      </c>
      <c r="AE19" s="362"/>
      <c r="AF19" s="362"/>
      <c r="AG19" s="362"/>
      <c r="AH19" s="306"/>
      <c r="AI19" s="307"/>
      <c r="AJ19" s="316"/>
      <c r="AK19" s="316"/>
    </row>
    <row r="20" spans="1:37" ht="15" customHeight="1">
      <c r="A20" s="35" t="str">
        <f t="shared" si="0"/>
        <v/>
      </c>
      <c r="B20" s="65" t="str">
        <f t="shared" si="1"/>
        <v/>
      </c>
      <c r="C20" s="112"/>
      <c r="D20" s="315">
        <v>8</v>
      </c>
      <c r="E20" s="314"/>
      <c r="F20" s="314" t="str">
        <f>IF('Sign-On'!H18="","",'Sign-On'!H18)</f>
        <v>1729605</v>
      </c>
      <c r="G20" s="314"/>
      <c r="H20" s="314"/>
      <c r="I20" s="362" t="str">
        <f>IF('Sign-On'!B18="","",'Sign-On'!B18)</f>
        <v>Michael Morris</v>
      </c>
      <c r="J20" s="362"/>
      <c r="K20" s="362"/>
      <c r="L20" s="362"/>
      <c r="M20" s="362"/>
      <c r="N20" s="362"/>
      <c r="O20" s="362"/>
      <c r="P20" s="362"/>
      <c r="Q20" s="362" t="str">
        <f>IF('Sign-On'!D18="","",'Sign-On'!D18)</f>
        <v>Cairngorm CC</v>
      </c>
      <c r="R20" s="362"/>
      <c r="S20" s="362"/>
      <c r="T20" s="362"/>
      <c r="U20" s="362"/>
      <c r="V20" s="362"/>
      <c r="W20" s="362"/>
      <c r="X20" s="362"/>
      <c r="Y20" s="314" t="str">
        <f>IF('Sign-On'!F18="","",'Sign-On'!F18)</f>
        <v>V</v>
      </c>
      <c r="Z20" s="314"/>
      <c r="AA20" s="258"/>
      <c r="AB20" s="258"/>
      <c r="AC20" s="258"/>
      <c r="AD20" s="313" t="str">
        <f t="shared" si="2"/>
        <v/>
      </c>
      <c r="AE20" s="362"/>
      <c r="AF20" s="362"/>
      <c r="AG20" s="362"/>
      <c r="AH20" s="306"/>
      <c r="AI20" s="307"/>
      <c r="AJ20" s="316"/>
      <c r="AK20" s="316"/>
    </row>
    <row r="21" spans="1:37" ht="15" customHeight="1">
      <c r="A21" s="35" t="str">
        <f t="shared" si="0"/>
        <v/>
      </c>
      <c r="B21" s="65" t="str">
        <f t="shared" si="1"/>
        <v/>
      </c>
      <c r="C21" s="112"/>
      <c r="D21" s="315">
        <v>9</v>
      </c>
      <c r="E21" s="314"/>
      <c r="F21" s="314" t="str">
        <f>IF('Sign-On'!H19="","",'Sign-On'!H19)</f>
        <v>1121741</v>
      </c>
      <c r="G21" s="314"/>
      <c r="H21" s="314"/>
      <c r="I21" s="362" t="str">
        <f>IF('Sign-On'!B19="","",'Sign-On'!B19)</f>
        <v>Fiona Barrett</v>
      </c>
      <c r="J21" s="362"/>
      <c r="K21" s="362"/>
      <c r="L21" s="362"/>
      <c r="M21" s="362"/>
      <c r="N21" s="362"/>
      <c r="O21" s="362"/>
      <c r="P21" s="362"/>
      <c r="Q21" s="362" t="str">
        <f>IF('Sign-On'!D19="","",'Sign-On'!D19)</f>
        <v>Inverness Cycle Club</v>
      </c>
      <c r="R21" s="362"/>
      <c r="S21" s="362"/>
      <c r="T21" s="362"/>
      <c r="U21" s="362"/>
      <c r="V21" s="362"/>
      <c r="W21" s="362"/>
      <c r="X21" s="362"/>
      <c r="Y21" s="314" t="str">
        <f>IF('Sign-On'!F19="","",'Sign-On'!F19)</f>
        <v>FV</v>
      </c>
      <c r="Z21" s="314"/>
      <c r="AA21" s="258"/>
      <c r="AB21" s="258"/>
      <c r="AC21" s="258"/>
      <c r="AD21" s="313" t="str">
        <f t="shared" si="2"/>
        <v/>
      </c>
      <c r="AE21" s="362"/>
      <c r="AF21" s="362"/>
      <c r="AG21" s="362"/>
      <c r="AH21" s="306"/>
      <c r="AI21" s="307"/>
      <c r="AJ21" s="316"/>
      <c r="AK21" s="316"/>
    </row>
    <row r="22" spans="1:37" ht="15" customHeight="1">
      <c r="A22" s="35" t="str">
        <f t="shared" si="0"/>
        <v/>
      </c>
      <c r="B22" s="65" t="str">
        <f t="shared" si="1"/>
        <v/>
      </c>
      <c r="C22" s="112"/>
      <c r="D22" s="315">
        <v>10</v>
      </c>
      <c r="E22" s="314"/>
      <c r="F22" s="314" t="str">
        <f>IF('Sign-On'!H20="","",'Sign-On'!H20)</f>
        <v>1071246</v>
      </c>
      <c r="G22" s="314"/>
      <c r="H22" s="314"/>
      <c r="I22" s="362" t="str">
        <f>IF('Sign-On'!B20="","",'Sign-On'!B20)</f>
        <v>Mark Walker</v>
      </c>
      <c r="J22" s="362"/>
      <c r="K22" s="362"/>
      <c r="L22" s="362"/>
      <c r="M22" s="362"/>
      <c r="N22" s="362"/>
      <c r="O22" s="362"/>
      <c r="P22" s="362"/>
      <c r="Q22" s="362" t="str">
        <f>IF('Sign-On'!D20="","",'Sign-On'!D20)</f>
        <v>Deeside Thistle CC</v>
      </c>
      <c r="R22" s="362"/>
      <c r="S22" s="362"/>
      <c r="T22" s="362"/>
      <c r="U22" s="362"/>
      <c r="V22" s="362"/>
      <c r="W22" s="362"/>
      <c r="X22" s="362"/>
      <c r="Y22" s="314" t="str">
        <f>IF('Sign-On'!F20="","",'Sign-On'!F20)</f>
        <v>V</v>
      </c>
      <c r="Z22" s="314"/>
      <c r="AA22" s="258"/>
      <c r="AB22" s="258"/>
      <c r="AC22" s="258"/>
      <c r="AD22" s="313" t="str">
        <f t="shared" si="2"/>
        <v/>
      </c>
      <c r="AE22" s="362"/>
      <c r="AF22" s="362"/>
      <c r="AG22" s="362"/>
      <c r="AH22" s="306"/>
      <c r="AI22" s="307"/>
      <c r="AJ22" s="316"/>
      <c r="AK22" s="316"/>
    </row>
    <row r="23" spans="1:37" ht="15" customHeight="1">
      <c r="A23" s="35" t="str">
        <f t="shared" si="0"/>
        <v/>
      </c>
      <c r="B23" s="65" t="str">
        <f t="shared" si="1"/>
        <v/>
      </c>
      <c r="C23" s="112"/>
      <c r="D23" s="315">
        <v>11</v>
      </c>
      <c r="E23" s="314"/>
      <c r="F23" s="314" t="str">
        <f>IF('Sign-On'!H21="","",'Sign-On'!H21)</f>
        <v>1726711</v>
      </c>
      <c r="G23" s="314"/>
      <c r="H23" s="314"/>
      <c r="I23" s="362" t="str">
        <f>IF('Sign-On'!B21="","",'Sign-On'!B21)</f>
        <v>Breagha Beaton</v>
      </c>
      <c r="J23" s="362"/>
      <c r="K23" s="362"/>
      <c r="L23" s="362"/>
      <c r="M23" s="362"/>
      <c r="N23" s="362"/>
      <c r="O23" s="362"/>
      <c r="P23" s="362"/>
      <c r="Q23" s="362" t="str">
        <f>IF('Sign-On'!D21="","",'Sign-On'!D21)</f>
        <v>Moray Firth Cycling Club</v>
      </c>
      <c r="R23" s="362"/>
      <c r="S23" s="362"/>
      <c r="T23" s="362"/>
      <c r="U23" s="362"/>
      <c r="V23" s="362"/>
      <c r="W23" s="362"/>
      <c r="X23" s="362"/>
      <c r="Y23" s="314" t="str">
        <f>IF('Sign-On'!F21="","",'Sign-On'!F21)</f>
        <v>F</v>
      </c>
      <c r="Z23" s="314"/>
      <c r="AA23" s="258"/>
      <c r="AB23" s="258"/>
      <c r="AC23" s="258"/>
      <c r="AD23" s="313" t="str">
        <f t="shared" si="2"/>
        <v/>
      </c>
      <c r="AE23" s="362"/>
      <c r="AF23" s="362"/>
      <c r="AG23" s="362"/>
      <c r="AH23" s="306"/>
      <c r="AI23" s="307"/>
      <c r="AJ23" s="316"/>
      <c r="AK23" s="316"/>
    </row>
    <row r="24" spans="1:37" ht="15" customHeight="1">
      <c r="A24" s="35" t="str">
        <f t="shared" si="0"/>
        <v/>
      </c>
      <c r="B24" s="65" t="str">
        <f t="shared" si="1"/>
        <v/>
      </c>
      <c r="C24" s="112"/>
      <c r="D24" s="315">
        <v>12</v>
      </c>
      <c r="E24" s="314"/>
      <c r="F24" s="314" t="str">
        <f>IF('Sign-On'!H22="","",'Sign-On'!H22)</f>
        <v>1009647</v>
      </c>
      <c r="G24" s="314"/>
      <c r="H24" s="314"/>
      <c r="I24" s="362" t="str">
        <f>IF('Sign-On'!B22="","",'Sign-On'!B22)</f>
        <v>Ruth Jeays</v>
      </c>
      <c r="J24" s="362"/>
      <c r="K24" s="362"/>
      <c r="L24" s="362"/>
      <c r="M24" s="362"/>
      <c r="N24" s="362"/>
      <c r="O24" s="362"/>
      <c r="P24" s="362"/>
      <c r="Q24" s="362" t="str">
        <f>IF('Sign-On'!D22="","",'Sign-On'!D22)</f>
        <v>Revolution CT</v>
      </c>
      <c r="R24" s="362"/>
      <c r="S24" s="362"/>
      <c r="T24" s="362"/>
      <c r="U24" s="362"/>
      <c r="V24" s="362"/>
      <c r="W24" s="362"/>
      <c r="X24" s="362"/>
      <c r="Y24" s="314" t="str">
        <f>IF('Sign-On'!F22="","",'Sign-On'!F22)</f>
        <v>FV</v>
      </c>
      <c r="Z24" s="314"/>
      <c r="AA24" s="258"/>
      <c r="AB24" s="258"/>
      <c r="AC24" s="258"/>
      <c r="AD24" s="313" t="str">
        <f t="shared" si="2"/>
        <v/>
      </c>
      <c r="AE24" s="362"/>
      <c r="AF24" s="362"/>
      <c r="AG24" s="362"/>
      <c r="AH24" s="306"/>
      <c r="AI24" s="307"/>
      <c r="AJ24" s="316"/>
      <c r="AK24" s="316"/>
    </row>
    <row r="25" spans="1:37" ht="15" customHeight="1">
      <c r="A25" s="35" t="str">
        <f t="shared" si="0"/>
        <v/>
      </c>
      <c r="B25" s="65" t="str">
        <f t="shared" si="1"/>
        <v/>
      </c>
      <c r="C25" s="112"/>
      <c r="D25" s="315">
        <v>13</v>
      </c>
      <c r="E25" s="314"/>
      <c r="F25" s="314" t="str">
        <f>IF('Sign-On'!H23="","",'Sign-On'!H23)</f>
        <v>1711884</v>
      </c>
      <c r="G25" s="314"/>
      <c r="H25" s="314"/>
      <c r="I25" s="362" t="str">
        <f>IF('Sign-On'!B23="","",'Sign-On'!B23)</f>
        <v>Gillies Grant</v>
      </c>
      <c r="J25" s="362"/>
      <c r="K25" s="362"/>
      <c r="L25" s="362"/>
      <c r="M25" s="362"/>
      <c r="N25" s="362"/>
      <c r="O25" s="362"/>
      <c r="P25" s="362"/>
      <c r="Q25" s="362" t="str">
        <f>IF('Sign-On'!D23="","",'Sign-On'!D23)</f>
        <v>Forres CC</v>
      </c>
      <c r="R25" s="362"/>
      <c r="S25" s="362"/>
      <c r="T25" s="362"/>
      <c r="U25" s="362"/>
      <c r="V25" s="362"/>
      <c r="W25" s="362"/>
      <c r="X25" s="362"/>
      <c r="Y25" s="314" t="str">
        <f>IF('Sign-On'!F23="","",'Sign-On'!F23)</f>
        <v>S</v>
      </c>
      <c r="Z25" s="314"/>
      <c r="AA25" s="258"/>
      <c r="AB25" s="258"/>
      <c r="AC25" s="258"/>
      <c r="AD25" s="313" t="str">
        <f t="shared" si="2"/>
        <v/>
      </c>
      <c r="AE25" s="362"/>
      <c r="AF25" s="362"/>
      <c r="AG25" s="362"/>
      <c r="AH25" s="306"/>
      <c r="AI25" s="307"/>
      <c r="AJ25" s="316"/>
      <c r="AK25" s="316"/>
    </row>
    <row r="26" spans="1:37" ht="15" customHeight="1">
      <c r="A26" s="35" t="str">
        <f t="shared" si="0"/>
        <v/>
      </c>
      <c r="B26" s="65" t="str">
        <f t="shared" si="1"/>
        <v/>
      </c>
      <c r="C26" s="112"/>
      <c r="D26" s="315">
        <v>14</v>
      </c>
      <c r="E26" s="314"/>
      <c r="F26" s="314" t="str">
        <f>IF('Sign-On'!H24="","",'Sign-On'!H24)</f>
        <v>1807438</v>
      </c>
      <c r="G26" s="314"/>
      <c r="H26" s="314"/>
      <c r="I26" s="362" t="str">
        <f>IF('Sign-On'!B24="","",'Sign-On'!B24)</f>
        <v>Michael Mcinnes</v>
      </c>
      <c r="J26" s="362"/>
      <c r="K26" s="362"/>
      <c r="L26" s="362"/>
      <c r="M26" s="362"/>
      <c r="N26" s="362"/>
      <c r="O26" s="362"/>
      <c r="P26" s="362"/>
      <c r="Q26" s="362" t="str">
        <f>IF('Sign-On'!D24="","",'Sign-On'!D24)</f>
        <v>Moray Firth Cycling Club</v>
      </c>
      <c r="R26" s="362"/>
      <c r="S26" s="362"/>
      <c r="T26" s="362"/>
      <c r="U26" s="362"/>
      <c r="V26" s="362"/>
      <c r="W26" s="362"/>
      <c r="X26" s="362"/>
      <c r="Y26" s="314" t="str">
        <f>IF('Sign-On'!F24="","",'Sign-On'!F24)</f>
        <v>V</v>
      </c>
      <c r="Z26" s="314"/>
      <c r="AA26" s="258"/>
      <c r="AB26" s="258"/>
      <c r="AC26" s="258"/>
      <c r="AD26" s="313" t="str">
        <f t="shared" si="2"/>
        <v/>
      </c>
      <c r="AE26" s="362"/>
      <c r="AF26" s="362"/>
      <c r="AG26" s="362"/>
      <c r="AH26" s="306"/>
      <c r="AI26" s="307"/>
      <c r="AJ26" s="316"/>
      <c r="AK26" s="316"/>
    </row>
    <row r="27" spans="1:37" ht="15" customHeight="1">
      <c r="A27" s="35" t="str">
        <f t="shared" si="0"/>
        <v/>
      </c>
      <c r="B27" s="65" t="str">
        <f t="shared" si="1"/>
        <v/>
      </c>
      <c r="C27" s="112"/>
      <c r="D27" s="315">
        <v>15</v>
      </c>
      <c r="E27" s="314"/>
      <c r="F27" s="314" t="str">
        <f>IF('Sign-On'!H25="","",'Sign-On'!H25)</f>
        <v>1108729</v>
      </c>
      <c r="G27" s="314"/>
      <c r="H27" s="314"/>
      <c r="I27" s="362" t="str">
        <f>IF('Sign-On'!B25="","",'Sign-On'!B25)</f>
        <v>Alasdair Munro</v>
      </c>
      <c r="J27" s="362"/>
      <c r="K27" s="362"/>
      <c r="L27" s="362"/>
      <c r="M27" s="362"/>
      <c r="N27" s="362"/>
      <c r="O27" s="362"/>
      <c r="P27" s="362"/>
      <c r="Q27" s="362" t="str">
        <f>IF('Sign-On'!D25="","",'Sign-On'!D25)</f>
        <v>RT23</v>
      </c>
      <c r="R27" s="362"/>
      <c r="S27" s="362"/>
      <c r="T27" s="362"/>
      <c r="U27" s="362"/>
      <c r="V27" s="362"/>
      <c r="W27" s="362"/>
      <c r="X27" s="362"/>
      <c r="Y27" s="314" t="str">
        <f>IF('Sign-On'!F25="","",'Sign-On'!F25)</f>
        <v>S</v>
      </c>
      <c r="Z27" s="314"/>
      <c r="AA27" s="258"/>
      <c r="AB27" s="258"/>
      <c r="AC27" s="258"/>
      <c r="AD27" s="313" t="str">
        <f t="shared" si="2"/>
        <v/>
      </c>
      <c r="AE27" s="362"/>
      <c r="AF27" s="362"/>
      <c r="AG27" s="362"/>
      <c r="AH27" s="306"/>
      <c r="AI27" s="307"/>
      <c r="AJ27" s="316"/>
      <c r="AK27" s="316"/>
    </row>
    <row r="28" spans="1:37" ht="15" customHeight="1">
      <c r="A28" s="35" t="str">
        <f t="shared" si="0"/>
        <v/>
      </c>
      <c r="B28" s="65" t="str">
        <f t="shared" si="1"/>
        <v/>
      </c>
      <c r="C28" s="112"/>
      <c r="D28" s="315">
        <v>16</v>
      </c>
      <c r="E28" s="314"/>
      <c r="F28" s="314" t="str">
        <f>IF('Sign-On'!H26="","",'Sign-On'!H26)</f>
        <v>1382055</v>
      </c>
      <c r="G28" s="314"/>
      <c r="H28" s="314"/>
      <c r="I28" s="362" t="str">
        <f>IF('Sign-On'!B26="","",'Sign-On'!B26)</f>
        <v>Rhoda Kennedy</v>
      </c>
      <c r="J28" s="362"/>
      <c r="K28" s="362"/>
      <c r="L28" s="362"/>
      <c r="M28" s="362"/>
      <c r="N28" s="362"/>
      <c r="O28" s="362"/>
      <c r="P28" s="362"/>
      <c r="Q28" s="362" t="str">
        <f>IF('Sign-On'!D26="","",'Sign-On'!D26)</f>
        <v>Ross-Shire RCC</v>
      </c>
      <c r="R28" s="362"/>
      <c r="S28" s="362"/>
      <c r="T28" s="362"/>
      <c r="U28" s="362"/>
      <c r="V28" s="362"/>
      <c r="W28" s="362"/>
      <c r="X28" s="362"/>
      <c r="Y28" s="314" t="str">
        <f>IF('Sign-On'!F26="","",'Sign-On'!F26)</f>
        <v>FV</v>
      </c>
      <c r="Z28" s="314"/>
      <c r="AA28" s="258"/>
      <c r="AB28" s="258"/>
      <c r="AC28" s="258"/>
      <c r="AD28" s="313" t="str">
        <f t="shared" si="2"/>
        <v/>
      </c>
      <c r="AE28" s="362"/>
      <c r="AF28" s="362"/>
      <c r="AG28" s="362"/>
      <c r="AH28" s="306"/>
      <c r="AI28" s="307"/>
      <c r="AJ28" s="316"/>
      <c r="AK28" s="316"/>
    </row>
    <row r="29" spans="1:37" ht="15" customHeight="1">
      <c r="A29" s="35" t="str">
        <f t="shared" si="0"/>
        <v/>
      </c>
      <c r="B29" s="65" t="str">
        <f t="shared" si="1"/>
        <v/>
      </c>
      <c r="C29" s="112"/>
      <c r="D29" s="315">
        <v>17</v>
      </c>
      <c r="E29" s="314"/>
      <c r="F29" s="314" t="str">
        <f>IF('Sign-On'!H27="","",'Sign-On'!H27)</f>
        <v>1823463</v>
      </c>
      <c r="G29" s="314"/>
      <c r="H29" s="314"/>
      <c r="I29" s="362" t="str">
        <f>IF('Sign-On'!B27="","",'Sign-On'!B27)</f>
        <v>Kenneth McKenzie</v>
      </c>
      <c r="J29" s="362"/>
      <c r="K29" s="362"/>
      <c r="L29" s="362"/>
      <c r="M29" s="362"/>
      <c r="N29" s="362"/>
      <c r="O29" s="362"/>
      <c r="P29" s="362"/>
      <c r="Q29" s="362" t="str">
        <f>IF('Sign-On'!D27="","",'Sign-On'!D27)</f>
        <v>Ross-Shire RCC</v>
      </c>
      <c r="R29" s="362"/>
      <c r="S29" s="362"/>
      <c r="T29" s="362"/>
      <c r="U29" s="362"/>
      <c r="V29" s="362"/>
      <c r="W29" s="362"/>
      <c r="X29" s="362"/>
      <c r="Y29" s="314" t="str">
        <f>IF('Sign-On'!F27="","",'Sign-On'!F27)</f>
        <v>V</v>
      </c>
      <c r="Z29" s="314"/>
      <c r="AA29" s="258"/>
      <c r="AB29" s="258"/>
      <c r="AC29" s="258"/>
      <c r="AD29" s="313" t="str">
        <f t="shared" si="2"/>
        <v/>
      </c>
      <c r="AE29" s="362"/>
      <c r="AF29" s="362"/>
      <c r="AG29" s="362"/>
      <c r="AH29" s="306"/>
      <c r="AI29" s="307"/>
      <c r="AJ29" s="316"/>
      <c r="AK29" s="316"/>
    </row>
    <row r="30" spans="1:37" ht="15" customHeight="1">
      <c r="A30" s="35" t="str">
        <f t="shared" si="0"/>
        <v/>
      </c>
      <c r="B30" s="65" t="str">
        <f t="shared" si="1"/>
        <v/>
      </c>
      <c r="C30" s="112"/>
      <c r="D30" s="315">
        <v>18</v>
      </c>
      <c r="E30" s="314"/>
      <c r="F30" s="314" t="str">
        <f>IF('Sign-On'!H28="","",'Sign-On'!H28)</f>
        <v>460001</v>
      </c>
      <c r="G30" s="314"/>
      <c r="H30" s="314"/>
      <c r="I30" s="362" t="str">
        <f>IF('Sign-On'!B28="","",'Sign-On'!B28)</f>
        <v>Ian Grant</v>
      </c>
      <c r="J30" s="362"/>
      <c r="K30" s="362"/>
      <c r="L30" s="362"/>
      <c r="M30" s="362"/>
      <c r="N30" s="362"/>
      <c r="O30" s="362"/>
      <c r="P30" s="362"/>
      <c r="Q30" s="362" t="str">
        <f>IF('Sign-On'!D28="","",'Sign-On'!D28)</f>
        <v>Deeside Thistle CC</v>
      </c>
      <c r="R30" s="362"/>
      <c r="S30" s="362"/>
      <c r="T30" s="362"/>
      <c r="U30" s="362"/>
      <c r="V30" s="362"/>
      <c r="W30" s="362"/>
      <c r="X30" s="362"/>
      <c r="Y30" s="314" t="str">
        <f>IF('Sign-On'!F28="","",'Sign-On'!F28)</f>
        <v>V</v>
      </c>
      <c r="Z30" s="314"/>
      <c r="AA30" s="258"/>
      <c r="AB30" s="258"/>
      <c r="AC30" s="258"/>
      <c r="AD30" s="313" t="str">
        <f t="shared" si="2"/>
        <v/>
      </c>
      <c r="AE30" s="362"/>
      <c r="AF30" s="362"/>
      <c r="AG30" s="362"/>
      <c r="AH30" s="306"/>
      <c r="AI30" s="307"/>
      <c r="AJ30" s="316"/>
      <c r="AK30" s="316"/>
    </row>
    <row r="31" spans="1:37" ht="15" customHeight="1">
      <c r="A31" s="35" t="str">
        <f t="shared" si="0"/>
        <v/>
      </c>
      <c r="B31" s="65" t="str">
        <f t="shared" si="1"/>
        <v/>
      </c>
      <c r="C31" s="112"/>
      <c r="D31" s="315">
        <v>19</v>
      </c>
      <c r="E31" s="314"/>
      <c r="F31" s="314" t="str">
        <f>IF('Sign-On'!H29="","",'Sign-On'!H29)</f>
        <v>920951</v>
      </c>
      <c r="G31" s="314"/>
      <c r="H31" s="314"/>
      <c r="I31" s="362" t="str">
        <f>IF('Sign-On'!B29="","",'Sign-On'!B29)</f>
        <v>Zoe Newsam</v>
      </c>
      <c r="J31" s="362"/>
      <c r="K31" s="362"/>
      <c r="L31" s="362"/>
      <c r="M31" s="362"/>
      <c r="N31" s="362"/>
      <c r="O31" s="362"/>
      <c r="P31" s="362"/>
      <c r="Q31" s="362" t="str">
        <f>IF('Sign-On'!D29="","",'Sign-On'!D29)</f>
        <v>Scottish Veterans T.T.A.</v>
      </c>
      <c r="R31" s="362"/>
      <c r="S31" s="362"/>
      <c r="T31" s="362"/>
      <c r="U31" s="362"/>
      <c r="V31" s="362"/>
      <c r="W31" s="362"/>
      <c r="X31" s="362"/>
      <c r="Y31" s="314" t="str">
        <f>IF('Sign-On'!F29="","",'Sign-On'!F29)</f>
        <v>FV</v>
      </c>
      <c r="Z31" s="314"/>
      <c r="AA31" s="258"/>
      <c r="AB31" s="258"/>
      <c r="AC31" s="258"/>
      <c r="AD31" s="313" t="str">
        <f t="shared" si="2"/>
        <v/>
      </c>
      <c r="AE31" s="362"/>
      <c r="AF31" s="362"/>
      <c r="AG31" s="362"/>
      <c r="AH31" s="306"/>
      <c r="AI31" s="307"/>
      <c r="AJ31" s="316"/>
      <c r="AK31" s="316"/>
    </row>
    <row r="32" spans="1:37" ht="15" customHeight="1">
      <c r="A32" s="35" t="str">
        <f t="shared" si="0"/>
        <v/>
      </c>
      <c r="B32" s="65" t="str">
        <f t="shared" si="1"/>
        <v/>
      </c>
      <c r="C32" s="112"/>
      <c r="D32" s="315">
        <v>20</v>
      </c>
      <c r="E32" s="314"/>
      <c r="F32" s="314" t="str">
        <f>IF('Sign-On'!H30="","",'Sign-On'!H30)</f>
        <v>1267380</v>
      </c>
      <c r="G32" s="314"/>
      <c r="H32" s="314"/>
      <c r="I32" s="362" t="str">
        <f>IF('Sign-On'!B30="","",'Sign-On'!B30)</f>
        <v>Jeremy Hubbard</v>
      </c>
      <c r="J32" s="362"/>
      <c r="K32" s="362"/>
      <c r="L32" s="362"/>
      <c r="M32" s="362"/>
      <c r="N32" s="362"/>
      <c r="O32" s="362"/>
      <c r="P32" s="362"/>
      <c r="Q32" s="362" t="str">
        <f>IF('Sign-On'!D30="","",'Sign-On'!D30)</f>
        <v>Cairngorm CC</v>
      </c>
      <c r="R32" s="362"/>
      <c r="S32" s="362"/>
      <c r="T32" s="362"/>
      <c r="U32" s="362"/>
      <c r="V32" s="362"/>
      <c r="W32" s="362"/>
      <c r="X32" s="362"/>
      <c r="Y32" s="314" t="str">
        <f>IF('Sign-On'!F30="","",'Sign-On'!F30)</f>
        <v>S</v>
      </c>
      <c r="Z32" s="314"/>
      <c r="AA32" s="258"/>
      <c r="AB32" s="258"/>
      <c r="AC32" s="258"/>
      <c r="AD32" s="313" t="str">
        <f t="shared" si="2"/>
        <v/>
      </c>
      <c r="AE32" s="362"/>
      <c r="AF32" s="362"/>
      <c r="AG32" s="362"/>
      <c r="AH32" s="306"/>
      <c r="AI32" s="307"/>
      <c r="AJ32" s="316"/>
      <c r="AK32" s="316"/>
    </row>
    <row r="33" spans="1:37" ht="15" customHeight="1">
      <c r="A33" s="35" t="str">
        <f t="shared" si="0"/>
        <v/>
      </c>
      <c r="B33" s="65" t="str">
        <f t="shared" si="1"/>
        <v/>
      </c>
      <c r="C33" s="112"/>
      <c r="D33" s="315">
        <v>21</v>
      </c>
      <c r="E33" s="314"/>
      <c r="F33" s="314" t="str">
        <f>IF('Sign-On'!H31="","",'Sign-On'!H31)</f>
        <v>1553215</v>
      </c>
      <c r="G33" s="314"/>
      <c r="H33" s="314"/>
      <c r="I33" s="362" t="str">
        <f>IF('Sign-On'!B31="","",'Sign-On'!B31)</f>
        <v>Amy Renwick</v>
      </c>
      <c r="J33" s="362"/>
      <c r="K33" s="362"/>
      <c r="L33" s="362"/>
      <c r="M33" s="362"/>
      <c r="N33" s="362"/>
      <c r="O33" s="362"/>
      <c r="P33" s="362"/>
      <c r="Q33" s="362" t="str">
        <f>IF('Sign-On'!D31="","",'Sign-On'!D31)</f>
        <v>Moray Firth Cycling Club</v>
      </c>
      <c r="R33" s="362"/>
      <c r="S33" s="362"/>
      <c r="T33" s="362"/>
      <c r="U33" s="362"/>
      <c r="V33" s="362"/>
      <c r="W33" s="362"/>
      <c r="X33" s="362"/>
      <c r="Y33" s="314" t="str">
        <f>IF('Sign-On'!F31="","",'Sign-On'!F31)</f>
        <v>F</v>
      </c>
      <c r="Z33" s="314"/>
      <c r="AA33" s="258"/>
      <c r="AB33" s="258"/>
      <c r="AC33" s="258"/>
      <c r="AD33" s="313" t="str">
        <f t="shared" si="2"/>
        <v/>
      </c>
      <c r="AE33" s="362"/>
      <c r="AF33" s="362"/>
      <c r="AG33" s="362"/>
      <c r="AH33" s="306"/>
      <c r="AI33" s="307"/>
      <c r="AJ33" s="316"/>
      <c r="AK33" s="316"/>
    </row>
    <row r="34" spans="1:37" ht="15" customHeight="1">
      <c r="A34" s="35" t="str">
        <f t="shared" si="0"/>
        <v/>
      </c>
      <c r="B34" s="65" t="str">
        <f t="shared" si="1"/>
        <v/>
      </c>
      <c r="C34" s="112"/>
      <c r="D34" s="315">
        <v>22</v>
      </c>
      <c r="E34" s="314"/>
      <c r="F34" s="314" t="str">
        <f>IF('Sign-On'!H32="","",'Sign-On'!H32)</f>
        <v>1346462</v>
      </c>
      <c r="G34" s="314"/>
      <c r="H34" s="314"/>
      <c r="I34" s="362" t="str">
        <f>IF('Sign-On'!B32="","",'Sign-On'!B32)</f>
        <v>Eva Murphy</v>
      </c>
      <c r="J34" s="362"/>
      <c r="K34" s="362"/>
      <c r="L34" s="362"/>
      <c r="M34" s="362"/>
      <c r="N34" s="362"/>
      <c r="O34" s="362"/>
      <c r="P34" s="362"/>
      <c r="Q34" s="362" t="str">
        <f>IF('Sign-On'!D32="","",'Sign-On'!D32)</f>
        <v>Deeside Thistle CC</v>
      </c>
      <c r="R34" s="362"/>
      <c r="S34" s="362"/>
      <c r="T34" s="362"/>
      <c r="U34" s="362"/>
      <c r="V34" s="362"/>
      <c r="W34" s="362"/>
      <c r="X34" s="362"/>
      <c r="Y34" s="314" t="str">
        <f>IF('Sign-On'!F32="","",'Sign-On'!F32)</f>
        <v>JF</v>
      </c>
      <c r="Z34" s="314"/>
      <c r="AA34" s="258"/>
      <c r="AB34" s="258"/>
      <c r="AC34" s="258"/>
      <c r="AD34" s="313" t="str">
        <f t="shared" ref="AD34:AD77" si="3">IF(AB34="","",IF(OR(AB34&gt;59,AC34&gt;59),"ERROR",((AA34*3600)+(AB34*60)+AC34)/86400))</f>
        <v/>
      </c>
      <c r="AE34" s="362"/>
      <c r="AF34" s="362"/>
      <c r="AG34" s="362"/>
      <c r="AH34" s="306"/>
      <c r="AI34" s="307"/>
      <c r="AJ34" s="316"/>
      <c r="AK34" s="316"/>
    </row>
    <row r="35" spans="1:37" ht="15" customHeight="1">
      <c r="A35" s="35" t="str">
        <f t="shared" si="0"/>
        <v/>
      </c>
      <c r="B35" s="65" t="str">
        <f t="shared" si="1"/>
        <v/>
      </c>
      <c r="C35" s="112"/>
      <c r="D35" s="315">
        <v>23</v>
      </c>
      <c r="E35" s="314"/>
      <c r="F35" s="314" t="str">
        <f>IF('Sign-On'!H33="","",'Sign-On'!H33)</f>
        <v>1151288</v>
      </c>
      <c r="G35" s="314"/>
      <c r="H35" s="314"/>
      <c r="I35" s="362" t="str">
        <f>IF('Sign-On'!B33="","",'Sign-On'!B33)</f>
        <v>Millie Thomson</v>
      </c>
      <c r="J35" s="362"/>
      <c r="K35" s="362"/>
      <c r="L35" s="362"/>
      <c r="M35" s="362"/>
      <c r="N35" s="362"/>
      <c r="O35" s="362"/>
      <c r="P35" s="362"/>
      <c r="Q35" s="362" t="str">
        <f>IF('Sign-On'!D33="","",'Sign-On'!D33)</f>
        <v>Solas Cycling</v>
      </c>
      <c r="R35" s="362"/>
      <c r="S35" s="362"/>
      <c r="T35" s="362"/>
      <c r="U35" s="362"/>
      <c r="V35" s="362"/>
      <c r="W35" s="362"/>
      <c r="X35" s="362"/>
      <c r="Y35" s="314" t="str">
        <f>IF('Sign-On'!F33="","",'Sign-On'!F33)</f>
        <v>F</v>
      </c>
      <c r="Z35" s="314"/>
      <c r="AA35" s="258"/>
      <c r="AB35" s="258"/>
      <c r="AC35" s="258"/>
      <c r="AD35" s="313" t="str">
        <f t="shared" si="3"/>
        <v/>
      </c>
      <c r="AE35" s="362"/>
      <c r="AF35" s="362"/>
      <c r="AG35" s="362"/>
      <c r="AH35" s="306"/>
      <c r="AI35" s="307"/>
      <c r="AJ35" s="316"/>
      <c r="AK35" s="316"/>
    </row>
    <row r="36" spans="1:37" ht="15" customHeight="1">
      <c r="A36" s="35" t="str">
        <f t="shared" si="0"/>
        <v/>
      </c>
      <c r="B36" s="65" t="str">
        <f t="shared" si="1"/>
        <v/>
      </c>
      <c r="C36" s="112"/>
      <c r="D36" s="315">
        <v>24</v>
      </c>
      <c r="E36" s="314"/>
      <c r="F36" s="314" t="str">
        <f>IF('Sign-On'!H34="","",'Sign-On'!H34)</f>
        <v>201791</v>
      </c>
      <c r="G36" s="314"/>
      <c r="H36" s="314"/>
      <c r="I36" s="362" t="str">
        <f>IF('Sign-On'!B34="","",'Sign-On'!B34)</f>
        <v>Malcolm Grant</v>
      </c>
      <c r="J36" s="362"/>
      <c r="K36" s="362"/>
      <c r="L36" s="362"/>
      <c r="M36" s="362"/>
      <c r="N36" s="362"/>
      <c r="O36" s="362"/>
      <c r="P36" s="362"/>
      <c r="Q36" s="362" t="str">
        <f>IF('Sign-On'!D34="","",'Sign-On'!D34)</f>
        <v>Pedal Power Inverurie</v>
      </c>
      <c r="R36" s="362"/>
      <c r="S36" s="362"/>
      <c r="T36" s="362"/>
      <c r="U36" s="362"/>
      <c r="V36" s="362"/>
      <c r="W36" s="362"/>
      <c r="X36" s="362"/>
      <c r="Y36" s="314" t="str">
        <f>IF('Sign-On'!F34="","",'Sign-On'!F34)</f>
        <v>V</v>
      </c>
      <c r="Z36" s="314"/>
      <c r="AA36" s="258"/>
      <c r="AB36" s="258"/>
      <c r="AC36" s="258"/>
      <c r="AD36" s="313" t="str">
        <f t="shared" si="3"/>
        <v/>
      </c>
      <c r="AE36" s="362"/>
      <c r="AF36" s="362"/>
      <c r="AG36" s="362"/>
      <c r="AH36" s="306"/>
      <c r="AI36" s="307"/>
      <c r="AJ36" s="316"/>
      <c r="AK36" s="316"/>
    </row>
    <row r="37" spans="1:37" ht="15" customHeight="1">
      <c r="A37" s="35" t="str">
        <f t="shared" si="0"/>
        <v/>
      </c>
      <c r="B37" s="65" t="str">
        <f t="shared" si="1"/>
        <v/>
      </c>
      <c r="C37" s="112"/>
      <c r="D37" s="315">
        <v>25</v>
      </c>
      <c r="E37" s="314"/>
      <c r="F37" s="314" t="str">
        <f>IF('Sign-On'!H35="","",'Sign-On'!H35)</f>
        <v>1446647</v>
      </c>
      <c r="G37" s="314"/>
      <c r="H37" s="314"/>
      <c r="I37" s="362" t="str">
        <f>IF('Sign-On'!B35="","",'Sign-On'!B35)</f>
        <v>Lewis Dey</v>
      </c>
      <c r="J37" s="362"/>
      <c r="K37" s="362"/>
      <c r="L37" s="362"/>
      <c r="M37" s="362"/>
      <c r="N37" s="362"/>
      <c r="O37" s="362"/>
      <c r="P37" s="362"/>
      <c r="Q37" s="362" t="str">
        <f>IF('Sign-On'!D35="","",'Sign-On'!D35)</f>
        <v>RT23</v>
      </c>
      <c r="R37" s="362"/>
      <c r="S37" s="362"/>
      <c r="T37" s="362"/>
      <c r="U37" s="362"/>
      <c r="V37" s="362"/>
      <c r="W37" s="362"/>
      <c r="X37" s="362"/>
      <c r="Y37" s="314" t="str">
        <f>IF('Sign-On'!F35="","",'Sign-On'!F35)</f>
        <v>S</v>
      </c>
      <c r="Z37" s="314"/>
      <c r="AA37" s="258"/>
      <c r="AB37" s="258"/>
      <c r="AC37" s="258"/>
      <c r="AD37" s="313" t="str">
        <f t="shared" si="3"/>
        <v/>
      </c>
      <c r="AE37" s="362"/>
      <c r="AF37" s="362"/>
      <c r="AG37" s="362"/>
      <c r="AH37" s="306"/>
      <c r="AI37" s="307"/>
      <c r="AJ37" s="316"/>
      <c r="AK37" s="316"/>
    </row>
    <row r="38" spans="1:37" ht="15" customHeight="1">
      <c r="A38" s="35" t="str">
        <f t="shared" si="0"/>
        <v/>
      </c>
      <c r="B38" s="65" t="str">
        <f t="shared" si="1"/>
        <v/>
      </c>
      <c r="C38" s="112"/>
      <c r="D38" s="315">
        <v>26</v>
      </c>
      <c r="E38" s="314"/>
      <c r="F38" s="314" t="str">
        <f>IF('Sign-On'!H36="","",'Sign-On'!H36)</f>
        <v>838764</v>
      </c>
      <c r="G38" s="314"/>
      <c r="H38" s="314"/>
      <c r="I38" s="362" t="str">
        <f>IF('Sign-On'!B36="","",'Sign-On'!B36)</f>
        <v>Innis Mitchell</v>
      </c>
      <c r="J38" s="362"/>
      <c r="K38" s="362"/>
      <c r="L38" s="362"/>
      <c r="M38" s="362"/>
      <c r="N38" s="362"/>
      <c r="O38" s="362"/>
      <c r="P38" s="362"/>
      <c r="Q38" s="362" t="str">
        <f>IF('Sign-On'!D36="","",'Sign-On'!D36)</f>
        <v>Ross-Shire RCC</v>
      </c>
      <c r="R38" s="362"/>
      <c r="S38" s="362"/>
      <c r="T38" s="362"/>
      <c r="U38" s="362"/>
      <c r="V38" s="362"/>
      <c r="W38" s="362"/>
      <c r="X38" s="362"/>
      <c r="Y38" s="314" t="str">
        <f>IF('Sign-On'!F36="","",'Sign-On'!F36)</f>
        <v>V</v>
      </c>
      <c r="Z38" s="314"/>
      <c r="AA38" s="258"/>
      <c r="AB38" s="258"/>
      <c r="AC38" s="258"/>
      <c r="AD38" s="313" t="str">
        <f t="shared" si="3"/>
        <v/>
      </c>
      <c r="AE38" s="362"/>
      <c r="AF38" s="362"/>
      <c r="AG38" s="362"/>
      <c r="AH38" s="306"/>
      <c r="AI38" s="307"/>
      <c r="AJ38" s="316"/>
      <c r="AK38" s="316"/>
    </row>
    <row r="39" spans="1:37" ht="15" customHeight="1">
      <c r="A39" s="35" t="str">
        <f t="shared" si="0"/>
        <v/>
      </c>
      <c r="B39" s="65" t="str">
        <f t="shared" si="1"/>
        <v/>
      </c>
      <c r="C39" s="112"/>
      <c r="D39" s="315">
        <v>27</v>
      </c>
      <c r="E39" s="314"/>
      <c r="F39" s="314" t="str">
        <f>IF('Sign-On'!H37="","",'Sign-On'!H37)</f>
        <v>1494994</v>
      </c>
      <c r="G39" s="314"/>
      <c r="H39" s="314"/>
      <c r="I39" s="362" t="str">
        <f>IF('Sign-On'!B37="","",'Sign-On'!B37)</f>
        <v>Lorna Breetzke</v>
      </c>
      <c r="J39" s="362"/>
      <c r="K39" s="362"/>
      <c r="L39" s="362"/>
      <c r="M39" s="362"/>
      <c r="N39" s="362"/>
      <c r="O39" s="362"/>
      <c r="P39" s="362"/>
      <c r="Q39" s="362" t="str">
        <f>IF('Sign-On'!D37="","",'Sign-On'!D37)</f>
        <v>Elgin CC</v>
      </c>
      <c r="R39" s="362"/>
      <c r="S39" s="362"/>
      <c r="T39" s="362"/>
      <c r="U39" s="362"/>
      <c r="V39" s="362"/>
      <c r="W39" s="362"/>
      <c r="X39" s="362"/>
      <c r="Y39" s="314" t="str">
        <f>IF('Sign-On'!F37="","",'Sign-On'!F37)</f>
        <v>FV</v>
      </c>
      <c r="Z39" s="314"/>
      <c r="AA39" s="258"/>
      <c r="AB39" s="258"/>
      <c r="AC39" s="258"/>
      <c r="AD39" s="313" t="str">
        <f t="shared" si="3"/>
        <v/>
      </c>
      <c r="AE39" s="362"/>
      <c r="AF39" s="362"/>
      <c r="AG39" s="362"/>
      <c r="AH39" s="306"/>
      <c r="AI39" s="307"/>
      <c r="AJ39" s="316"/>
      <c r="AK39" s="316"/>
    </row>
    <row r="40" spans="1:37" ht="15" customHeight="1">
      <c r="A40" s="35" t="str">
        <f t="shared" si="0"/>
        <v/>
      </c>
      <c r="B40" s="65" t="str">
        <f t="shared" si="1"/>
        <v/>
      </c>
      <c r="C40" s="112"/>
      <c r="D40" s="315">
        <v>28</v>
      </c>
      <c r="E40" s="314"/>
      <c r="F40" s="314" t="str">
        <f>IF('Sign-On'!H38="","",'Sign-On'!H38)</f>
        <v>1736632</v>
      </c>
      <c r="G40" s="314"/>
      <c r="H40" s="314"/>
      <c r="I40" s="362" t="str">
        <f>IF('Sign-On'!B38="","",'Sign-On'!B38)</f>
        <v>Phil Cameron</v>
      </c>
      <c r="J40" s="362"/>
      <c r="K40" s="362"/>
      <c r="L40" s="362"/>
      <c r="M40" s="362"/>
      <c r="N40" s="362"/>
      <c r="O40" s="362"/>
      <c r="P40" s="362"/>
      <c r="Q40" s="362" t="str">
        <f>IF('Sign-On'!D38="","",'Sign-On'!D38)</f>
        <v>Elgin CC</v>
      </c>
      <c r="R40" s="362"/>
      <c r="S40" s="362"/>
      <c r="T40" s="362"/>
      <c r="U40" s="362"/>
      <c r="V40" s="362"/>
      <c r="W40" s="362"/>
      <c r="X40" s="362"/>
      <c r="Y40" s="314" t="str">
        <f>IF('Sign-On'!F38="","",'Sign-On'!F38)</f>
        <v>V</v>
      </c>
      <c r="Z40" s="314"/>
      <c r="AA40" s="258"/>
      <c r="AB40" s="258"/>
      <c r="AC40" s="258"/>
      <c r="AD40" s="313" t="str">
        <f t="shared" si="3"/>
        <v/>
      </c>
      <c r="AE40" s="362"/>
      <c r="AF40" s="362"/>
      <c r="AG40" s="362"/>
      <c r="AH40" s="306"/>
      <c r="AI40" s="307"/>
      <c r="AJ40" s="316"/>
      <c r="AK40" s="316"/>
    </row>
    <row r="41" spans="1:37" ht="15" customHeight="1">
      <c r="A41" s="35" t="str">
        <f t="shared" si="0"/>
        <v/>
      </c>
      <c r="B41" s="65" t="str">
        <f t="shared" si="1"/>
        <v/>
      </c>
      <c r="C41" s="112"/>
      <c r="D41" s="315">
        <v>29</v>
      </c>
      <c r="E41" s="314"/>
      <c r="F41" s="314" t="str">
        <f>IF('Sign-On'!H39="","",'Sign-On'!H39)</f>
        <v>1760730</v>
      </c>
      <c r="G41" s="314"/>
      <c r="H41" s="314"/>
      <c r="I41" s="362" t="str">
        <f>IF('Sign-On'!B39="","",'Sign-On'!B39)</f>
        <v>Christine Brumhead</v>
      </c>
      <c r="J41" s="362"/>
      <c r="K41" s="362"/>
      <c r="L41" s="362"/>
      <c r="M41" s="362"/>
      <c r="N41" s="362"/>
      <c r="O41" s="362"/>
      <c r="P41" s="362"/>
      <c r="Q41" s="362" t="str">
        <f>IF('Sign-On'!D39="","",'Sign-On'!D39)</f>
        <v>Inverness Cycle Club</v>
      </c>
      <c r="R41" s="362"/>
      <c r="S41" s="362"/>
      <c r="T41" s="362"/>
      <c r="U41" s="362"/>
      <c r="V41" s="362"/>
      <c r="W41" s="362"/>
      <c r="X41" s="362"/>
      <c r="Y41" s="314" t="str">
        <f>IF('Sign-On'!F39="","",'Sign-On'!F39)</f>
        <v>FV</v>
      </c>
      <c r="Z41" s="314"/>
      <c r="AA41" s="258"/>
      <c r="AB41" s="258"/>
      <c r="AC41" s="258"/>
      <c r="AD41" s="313" t="str">
        <f t="shared" si="3"/>
        <v/>
      </c>
      <c r="AE41" s="362"/>
      <c r="AF41" s="362"/>
      <c r="AG41" s="362"/>
      <c r="AH41" s="306"/>
      <c r="AI41" s="307"/>
      <c r="AJ41" s="316"/>
      <c r="AK41" s="316"/>
    </row>
    <row r="42" spans="1:37" ht="15" customHeight="1">
      <c r="A42" s="35" t="str">
        <f t="shared" si="0"/>
        <v/>
      </c>
      <c r="B42" s="65" t="str">
        <f t="shared" si="1"/>
        <v/>
      </c>
      <c r="C42" s="112"/>
      <c r="D42" s="315">
        <v>30</v>
      </c>
      <c r="E42" s="314"/>
      <c r="F42" s="314" t="str">
        <f>IF('Sign-On'!H40="","",'Sign-On'!H40)</f>
        <v>441717</v>
      </c>
      <c r="G42" s="314"/>
      <c r="H42" s="314"/>
      <c r="I42" s="362" t="str">
        <f>IF('Sign-On'!B40="","",'Sign-On'!B40)</f>
        <v>Tom Broadbent</v>
      </c>
      <c r="J42" s="362"/>
      <c r="K42" s="362"/>
      <c r="L42" s="362"/>
      <c r="M42" s="362"/>
      <c r="N42" s="362"/>
      <c r="O42" s="362"/>
      <c r="P42" s="362"/>
      <c r="Q42" s="362" t="str">
        <f>IF('Sign-On'!D40="","",'Sign-On'!D40)</f>
        <v>MGC RT</v>
      </c>
      <c r="R42" s="362"/>
      <c r="S42" s="362"/>
      <c r="T42" s="362"/>
      <c r="U42" s="362"/>
      <c r="V42" s="362"/>
      <c r="W42" s="362"/>
      <c r="X42" s="362"/>
      <c r="Y42" s="314" t="str">
        <f>IF('Sign-On'!F40="","",'Sign-On'!F40)</f>
        <v>V</v>
      </c>
      <c r="Z42" s="314"/>
      <c r="AA42" s="258"/>
      <c r="AB42" s="258"/>
      <c r="AC42" s="258"/>
      <c r="AD42" s="313" t="str">
        <f t="shared" si="3"/>
        <v/>
      </c>
      <c r="AE42" s="362"/>
      <c r="AF42" s="362"/>
      <c r="AG42" s="362"/>
      <c r="AH42" s="306"/>
      <c r="AI42" s="307"/>
      <c r="AJ42" s="316"/>
      <c r="AK42" s="316"/>
    </row>
    <row r="43" spans="1:37" ht="15" customHeight="1">
      <c r="A43" s="35" t="str">
        <f t="shared" si="0"/>
        <v/>
      </c>
      <c r="B43" s="65" t="str">
        <f t="shared" si="1"/>
        <v/>
      </c>
      <c r="C43" s="112"/>
      <c r="D43" s="315">
        <v>31</v>
      </c>
      <c r="E43" s="314"/>
      <c r="F43" s="314" t="str">
        <f>IF('Sign-On'!H41="","",'Sign-On'!H41)</f>
        <v>1760731</v>
      </c>
      <c r="G43" s="314"/>
      <c r="H43" s="314"/>
      <c r="I43" s="362" t="str">
        <f>IF('Sign-On'!B41="","",'Sign-On'!B41)</f>
        <v>Angus Brumhead</v>
      </c>
      <c r="J43" s="362"/>
      <c r="K43" s="362"/>
      <c r="L43" s="362"/>
      <c r="M43" s="362"/>
      <c r="N43" s="362"/>
      <c r="O43" s="362"/>
      <c r="P43" s="362"/>
      <c r="Q43" s="362" t="str">
        <f>IF('Sign-On'!D41="","",'Sign-On'!D41)</f>
        <v>Inverness Cycle Club</v>
      </c>
      <c r="R43" s="362"/>
      <c r="S43" s="362"/>
      <c r="T43" s="362"/>
      <c r="U43" s="362"/>
      <c r="V43" s="362"/>
      <c r="W43" s="362"/>
      <c r="X43" s="362"/>
      <c r="Y43" s="314" t="str">
        <f>IF('Sign-On'!F41="","",'Sign-On'!F41)</f>
        <v>V</v>
      </c>
      <c r="Z43" s="314"/>
      <c r="AA43" s="258"/>
      <c r="AB43" s="258"/>
      <c r="AC43" s="258"/>
      <c r="AD43" s="313" t="str">
        <f t="shared" si="3"/>
        <v/>
      </c>
      <c r="AE43" s="362"/>
      <c r="AF43" s="362"/>
      <c r="AG43" s="362"/>
      <c r="AH43" s="306"/>
      <c r="AI43" s="307"/>
      <c r="AJ43" s="316"/>
      <c r="AK43" s="316"/>
    </row>
    <row r="44" spans="1:37" ht="15" customHeight="1">
      <c r="A44" s="35" t="str">
        <f t="shared" si="0"/>
        <v/>
      </c>
      <c r="B44" s="65" t="str">
        <f t="shared" si="1"/>
        <v/>
      </c>
      <c r="C44" s="112"/>
      <c r="D44" s="315">
        <v>32</v>
      </c>
      <c r="E44" s="314"/>
      <c r="F44" s="314" t="str">
        <f>IF('Sign-On'!H42="","",'Sign-On'!H42)</f>
        <v>1834071</v>
      </c>
      <c r="G44" s="314"/>
      <c r="H44" s="314"/>
      <c r="I44" s="362" t="str">
        <f>IF('Sign-On'!B42="","",'Sign-On'!B42)</f>
        <v>Kyle Cattanach</v>
      </c>
      <c r="J44" s="362"/>
      <c r="K44" s="362"/>
      <c r="L44" s="362"/>
      <c r="M44" s="362"/>
      <c r="N44" s="362"/>
      <c r="O44" s="362"/>
      <c r="P44" s="362"/>
      <c r="Q44" s="362" t="str">
        <f>IF('Sign-On'!D42="","",'Sign-On'!D42)</f>
        <v>Moray Firth Cycling Club</v>
      </c>
      <c r="R44" s="362"/>
      <c r="S44" s="362"/>
      <c r="T44" s="362"/>
      <c r="U44" s="362"/>
      <c r="V44" s="362"/>
      <c r="W44" s="362"/>
      <c r="X44" s="362"/>
      <c r="Y44" s="314" t="str">
        <f>IF('Sign-On'!F42="","",'Sign-On'!F42)</f>
        <v>S</v>
      </c>
      <c r="Z44" s="314"/>
      <c r="AA44" s="258"/>
      <c r="AB44" s="258"/>
      <c r="AC44" s="258"/>
      <c r="AD44" s="313" t="str">
        <f t="shared" si="3"/>
        <v/>
      </c>
      <c r="AE44" s="362"/>
      <c r="AF44" s="362"/>
      <c r="AG44" s="362"/>
      <c r="AH44" s="306"/>
      <c r="AI44" s="307"/>
      <c r="AJ44" s="316"/>
      <c r="AK44" s="316"/>
    </row>
    <row r="45" spans="1:37" ht="15" customHeight="1">
      <c r="A45" s="35" t="str">
        <f t="shared" si="0"/>
        <v/>
      </c>
      <c r="B45" s="65" t="str">
        <f t="shared" si="1"/>
        <v/>
      </c>
      <c r="C45" s="112"/>
      <c r="D45" s="315">
        <v>33</v>
      </c>
      <c r="E45" s="314"/>
      <c r="F45" s="314" t="str">
        <f>IF('Sign-On'!H43="","",'Sign-On'!H43)</f>
        <v>1253402</v>
      </c>
      <c r="G45" s="314"/>
      <c r="H45" s="314"/>
      <c r="I45" s="362" t="str">
        <f>IF('Sign-On'!B43="","",'Sign-On'!B43)</f>
        <v>James Shewan</v>
      </c>
      <c r="J45" s="362"/>
      <c r="K45" s="362"/>
      <c r="L45" s="362"/>
      <c r="M45" s="362"/>
      <c r="N45" s="362"/>
      <c r="O45" s="362"/>
      <c r="P45" s="362"/>
      <c r="Q45" s="362" t="str">
        <f>IF('Sign-On'!D43="","",'Sign-On'!D43)</f>
        <v>Moray Firth Cycling Club</v>
      </c>
      <c r="R45" s="362"/>
      <c r="S45" s="362"/>
      <c r="T45" s="362"/>
      <c r="U45" s="362"/>
      <c r="V45" s="362"/>
      <c r="W45" s="362"/>
      <c r="X45" s="362"/>
      <c r="Y45" s="314" t="str">
        <f>IF('Sign-On'!F43="","",'Sign-On'!F43)</f>
        <v>S</v>
      </c>
      <c r="Z45" s="314"/>
      <c r="AA45" s="258"/>
      <c r="AB45" s="258"/>
      <c r="AC45" s="258"/>
      <c r="AD45" s="313" t="str">
        <f t="shared" si="3"/>
        <v/>
      </c>
      <c r="AE45" s="362"/>
      <c r="AF45" s="362"/>
      <c r="AG45" s="362"/>
      <c r="AH45" s="306"/>
      <c r="AI45" s="307"/>
      <c r="AJ45" s="316"/>
      <c r="AK45" s="316"/>
    </row>
    <row r="46" spans="1:37" ht="15" customHeight="1">
      <c r="A46" s="35" t="str">
        <f t="shared" si="0"/>
        <v/>
      </c>
      <c r="B46" s="65" t="str">
        <f t="shared" si="1"/>
        <v/>
      </c>
      <c r="C46" s="112"/>
      <c r="D46" s="315">
        <v>34</v>
      </c>
      <c r="E46" s="314"/>
      <c r="F46" s="314" t="str">
        <f>IF('Sign-On'!H44="","",'Sign-On'!H44)</f>
        <v>1820763</v>
      </c>
      <c r="G46" s="314"/>
      <c r="H46" s="314"/>
      <c r="I46" s="362" t="str">
        <f>IF('Sign-On'!B44="","",'Sign-On'!B44)</f>
        <v>Andrew Paterson</v>
      </c>
      <c r="J46" s="362"/>
      <c r="K46" s="362"/>
      <c r="L46" s="362"/>
      <c r="M46" s="362"/>
      <c r="N46" s="362"/>
      <c r="O46" s="362"/>
      <c r="P46" s="362"/>
      <c r="Q46" s="362" t="str">
        <f>IF('Sign-On'!D44="","",'Sign-On'!D44)</f>
        <v>Elgin CC</v>
      </c>
      <c r="R46" s="362"/>
      <c r="S46" s="362"/>
      <c r="T46" s="362"/>
      <c r="U46" s="362"/>
      <c r="V46" s="362"/>
      <c r="W46" s="362"/>
      <c r="X46" s="362"/>
      <c r="Y46" s="314" t="str">
        <f>IF('Sign-On'!F44="","",'Sign-On'!F44)</f>
        <v>JM</v>
      </c>
      <c r="Z46" s="314"/>
      <c r="AA46" s="258"/>
      <c r="AB46" s="258"/>
      <c r="AC46" s="258"/>
      <c r="AD46" s="313" t="str">
        <f t="shared" si="3"/>
        <v/>
      </c>
      <c r="AE46" s="362"/>
      <c r="AF46" s="362"/>
      <c r="AG46" s="362"/>
      <c r="AH46" s="306"/>
      <c r="AI46" s="307"/>
      <c r="AJ46" s="316"/>
      <c r="AK46" s="316"/>
    </row>
    <row r="47" spans="1:37" ht="15" customHeight="1">
      <c r="A47" s="35" t="str">
        <f t="shared" si="0"/>
        <v/>
      </c>
      <c r="B47" s="65" t="str">
        <f t="shared" si="1"/>
        <v/>
      </c>
      <c r="C47" s="112"/>
      <c r="D47" s="315">
        <v>35</v>
      </c>
      <c r="E47" s="314"/>
      <c r="F47" s="314" t="str">
        <f>IF('Sign-On'!H45="","",'Sign-On'!H45)</f>
        <v>833363</v>
      </c>
      <c r="G47" s="314"/>
      <c r="H47" s="314"/>
      <c r="I47" s="362" t="str">
        <f>IF('Sign-On'!B45="","",'Sign-On'!B45)</f>
        <v>Robin Atkinson</v>
      </c>
      <c r="J47" s="362"/>
      <c r="K47" s="362"/>
      <c r="L47" s="362"/>
      <c r="M47" s="362"/>
      <c r="N47" s="362"/>
      <c r="O47" s="362"/>
      <c r="P47" s="362"/>
      <c r="Q47" s="362" t="str">
        <f>IF('Sign-On'!D45="","",'Sign-On'!D45)</f>
        <v>Shetland Wheelers</v>
      </c>
      <c r="R47" s="362"/>
      <c r="S47" s="362"/>
      <c r="T47" s="362"/>
      <c r="U47" s="362"/>
      <c r="V47" s="362"/>
      <c r="W47" s="362"/>
      <c r="X47" s="362"/>
      <c r="Y47" s="314" t="str">
        <f>IF('Sign-On'!F45="","",'Sign-On'!F45)</f>
        <v>V</v>
      </c>
      <c r="Z47" s="314"/>
      <c r="AA47" s="258"/>
      <c r="AB47" s="258"/>
      <c r="AC47" s="258"/>
      <c r="AD47" s="313" t="str">
        <f t="shared" si="3"/>
        <v/>
      </c>
      <c r="AE47" s="362"/>
      <c r="AF47" s="362"/>
      <c r="AG47" s="362"/>
      <c r="AH47" s="306"/>
      <c r="AI47" s="307"/>
      <c r="AJ47" s="316"/>
      <c r="AK47" s="316"/>
    </row>
    <row r="48" spans="1:37" ht="15" customHeight="1">
      <c r="A48" s="35" t="str">
        <f t="shared" si="0"/>
        <v/>
      </c>
      <c r="B48" s="65" t="str">
        <f t="shared" si="1"/>
        <v/>
      </c>
      <c r="C48" s="112"/>
      <c r="D48" s="315">
        <v>36</v>
      </c>
      <c r="E48" s="314"/>
      <c r="F48" s="314" t="str">
        <f>IF('Sign-On'!H46="","",'Sign-On'!H46)</f>
        <v>1090352</v>
      </c>
      <c r="G48" s="314"/>
      <c r="H48" s="314"/>
      <c r="I48" s="362" t="str">
        <f>IF('Sign-On'!B46="","",'Sign-On'!B46)</f>
        <v>Malcolm Cleghorn</v>
      </c>
      <c r="J48" s="362"/>
      <c r="K48" s="362"/>
      <c r="L48" s="362"/>
      <c r="M48" s="362"/>
      <c r="N48" s="362"/>
      <c r="O48" s="362"/>
      <c r="P48" s="362"/>
      <c r="Q48" s="362" t="str">
        <f>IF('Sign-On'!D46="","",'Sign-On'!D46)</f>
        <v>Ross-Shire RCC</v>
      </c>
      <c r="R48" s="362"/>
      <c r="S48" s="362"/>
      <c r="T48" s="362"/>
      <c r="U48" s="362"/>
      <c r="V48" s="362"/>
      <c r="W48" s="362"/>
      <c r="X48" s="362"/>
      <c r="Y48" s="314" t="str">
        <f>IF('Sign-On'!F46="","",'Sign-On'!F46)</f>
        <v>V</v>
      </c>
      <c r="Z48" s="314"/>
      <c r="AA48" s="258"/>
      <c r="AB48" s="258"/>
      <c r="AC48" s="258"/>
      <c r="AD48" s="313" t="str">
        <f t="shared" si="3"/>
        <v/>
      </c>
      <c r="AE48" s="362"/>
      <c r="AF48" s="362"/>
      <c r="AG48" s="362"/>
      <c r="AH48" s="306"/>
      <c r="AI48" s="307"/>
      <c r="AJ48" s="316"/>
      <c r="AK48" s="316"/>
    </row>
    <row r="49" spans="1:37" ht="15" customHeight="1">
      <c r="A49" s="35" t="str">
        <f t="shared" si="0"/>
        <v/>
      </c>
      <c r="B49" s="65" t="str">
        <f t="shared" si="1"/>
        <v/>
      </c>
      <c r="C49" s="112"/>
      <c r="D49" s="315">
        <v>37</v>
      </c>
      <c r="E49" s="314"/>
      <c r="F49" s="314" t="str">
        <f>IF('Sign-On'!H47="","",'Sign-On'!H47)</f>
        <v>1006831</v>
      </c>
      <c r="G49" s="314"/>
      <c r="H49" s="314"/>
      <c r="I49" s="362" t="str">
        <f>IF('Sign-On'!B47="","",'Sign-On'!B47)</f>
        <v>Steve Rae</v>
      </c>
      <c r="J49" s="362"/>
      <c r="K49" s="362"/>
      <c r="L49" s="362"/>
      <c r="M49" s="362"/>
      <c r="N49" s="362"/>
      <c r="O49" s="362"/>
      <c r="P49" s="362"/>
      <c r="Q49" s="362" t="str">
        <f>IF('Sign-On'!D47="","",'Sign-On'!D47)</f>
        <v>Ythan CC</v>
      </c>
      <c r="R49" s="362"/>
      <c r="S49" s="362"/>
      <c r="T49" s="362"/>
      <c r="U49" s="362"/>
      <c r="V49" s="362"/>
      <c r="W49" s="362"/>
      <c r="X49" s="362"/>
      <c r="Y49" s="314" t="str">
        <f>IF('Sign-On'!F47="","",'Sign-On'!F47)</f>
        <v>V</v>
      </c>
      <c r="Z49" s="314"/>
      <c r="AA49" s="258"/>
      <c r="AB49" s="258"/>
      <c r="AC49" s="258"/>
      <c r="AD49" s="313" t="str">
        <f t="shared" si="3"/>
        <v/>
      </c>
      <c r="AE49" s="362"/>
      <c r="AF49" s="362"/>
      <c r="AG49" s="362"/>
      <c r="AH49" s="306"/>
      <c r="AI49" s="307"/>
      <c r="AJ49" s="316"/>
      <c r="AK49" s="316"/>
    </row>
    <row r="50" spans="1:37" ht="15" customHeight="1">
      <c r="A50" s="35" t="str">
        <f t="shared" si="0"/>
        <v/>
      </c>
      <c r="B50" s="65" t="str">
        <f t="shared" si="1"/>
        <v/>
      </c>
      <c r="C50" s="112"/>
      <c r="D50" s="315">
        <v>38</v>
      </c>
      <c r="E50" s="314"/>
      <c r="F50" s="314" t="str">
        <f>IF('Sign-On'!H48="","",'Sign-On'!H48)</f>
        <v>1690150</v>
      </c>
      <c r="G50" s="314"/>
      <c r="H50" s="314"/>
      <c r="I50" s="362" t="str">
        <f>IF('Sign-On'!B48="","",'Sign-On'!B48)</f>
        <v>Alison Roger</v>
      </c>
      <c r="J50" s="362"/>
      <c r="K50" s="362"/>
      <c r="L50" s="362"/>
      <c r="M50" s="362"/>
      <c r="N50" s="362"/>
      <c r="O50" s="362"/>
      <c r="P50" s="362"/>
      <c r="Q50" s="362" t="str">
        <f>IF('Sign-On'!D48="","",'Sign-On'!D48)</f>
        <v>North Argyll Cycle Club</v>
      </c>
      <c r="R50" s="362"/>
      <c r="S50" s="362"/>
      <c r="T50" s="362"/>
      <c r="U50" s="362"/>
      <c r="V50" s="362"/>
      <c r="W50" s="362"/>
      <c r="X50" s="362"/>
      <c r="Y50" s="314" t="str">
        <f>IF('Sign-On'!F48="","",'Sign-On'!F48)</f>
        <v>FV</v>
      </c>
      <c r="Z50" s="314"/>
      <c r="AA50" s="258"/>
      <c r="AB50" s="258"/>
      <c r="AC50" s="258"/>
      <c r="AD50" s="313" t="str">
        <f t="shared" si="3"/>
        <v/>
      </c>
      <c r="AE50" s="362"/>
      <c r="AF50" s="362"/>
      <c r="AG50" s="362"/>
      <c r="AH50" s="306"/>
      <c r="AI50" s="307"/>
      <c r="AJ50" s="316"/>
      <c r="AK50" s="316"/>
    </row>
    <row r="51" spans="1:37" ht="15" customHeight="1">
      <c r="A51" s="35" t="str">
        <f t="shared" si="0"/>
        <v/>
      </c>
      <c r="B51" s="65" t="str">
        <f t="shared" si="1"/>
        <v/>
      </c>
      <c r="C51" s="112"/>
      <c r="D51" s="315">
        <v>39</v>
      </c>
      <c r="E51" s="314"/>
      <c r="F51" s="314" t="str">
        <f>IF('Sign-On'!H49="","",'Sign-On'!H49)</f>
        <v>201987</v>
      </c>
      <c r="G51" s="314"/>
      <c r="H51" s="314"/>
      <c r="I51" s="362" t="str">
        <f>IF('Sign-On'!B49="","",'Sign-On'!B49)</f>
        <v>George Grant</v>
      </c>
      <c r="J51" s="362"/>
      <c r="K51" s="362"/>
      <c r="L51" s="362"/>
      <c r="M51" s="362"/>
      <c r="N51" s="362"/>
      <c r="O51" s="362"/>
      <c r="P51" s="362"/>
      <c r="Q51" s="362" t="str">
        <f>IF('Sign-On'!D49="","",'Sign-On'!D49)</f>
        <v>Forres CC</v>
      </c>
      <c r="R51" s="362"/>
      <c r="S51" s="362"/>
      <c r="T51" s="362"/>
      <c r="U51" s="362"/>
      <c r="V51" s="362"/>
      <c r="W51" s="362"/>
      <c r="X51" s="362"/>
      <c r="Y51" s="314" t="str">
        <f>IF('Sign-On'!F49="","",'Sign-On'!F49)</f>
        <v>S</v>
      </c>
      <c r="Z51" s="314"/>
      <c r="AA51" s="258"/>
      <c r="AB51" s="258"/>
      <c r="AC51" s="258"/>
      <c r="AD51" s="313" t="str">
        <f t="shared" si="3"/>
        <v/>
      </c>
      <c r="AE51" s="362"/>
      <c r="AF51" s="362"/>
      <c r="AG51" s="362"/>
      <c r="AH51" s="306"/>
      <c r="AI51" s="307"/>
      <c r="AJ51" s="316"/>
      <c r="AK51" s="316"/>
    </row>
    <row r="52" spans="1:37" ht="15" customHeight="1">
      <c r="A52" s="35" t="str">
        <f t="shared" si="0"/>
        <v/>
      </c>
      <c r="B52" s="65" t="str">
        <f t="shared" si="1"/>
        <v/>
      </c>
      <c r="C52" s="112"/>
      <c r="D52" s="315">
        <v>40</v>
      </c>
      <c r="E52" s="314"/>
      <c r="F52" s="314" t="str">
        <f>IF('Sign-On'!H50="","",'Sign-On'!H50)</f>
        <v>1382142</v>
      </c>
      <c r="G52" s="314"/>
      <c r="H52" s="314"/>
      <c r="I52" s="362" t="str">
        <f>IF('Sign-On'!B50="","",'Sign-On'!B50)</f>
        <v>Daniel Long</v>
      </c>
      <c r="J52" s="362"/>
      <c r="K52" s="362"/>
      <c r="L52" s="362"/>
      <c r="M52" s="362"/>
      <c r="N52" s="362"/>
      <c r="O52" s="362"/>
      <c r="P52" s="362"/>
      <c r="Q52" s="362" t="str">
        <f>IF('Sign-On'!D50="","",'Sign-On'!D50)</f>
        <v>Elgin CC</v>
      </c>
      <c r="R52" s="362"/>
      <c r="S52" s="362"/>
      <c r="T52" s="362"/>
      <c r="U52" s="362"/>
      <c r="V52" s="362"/>
      <c r="W52" s="362"/>
      <c r="X52" s="362"/>
      <c r="Y52" s="314" t="str">
        <f>IF('Sign-On'!F50="","",'Sign-On'!F50)</f>
        <v>V</v>
      </c>
      <c r="Z52" s="314"/>
      <c r="AA52" s="258"/>
      <c r="AB52" s="258"/>
      <c r="AC52" s="258"/>
      <c r="AD52" s="313" t="str">
        <f t="shared" si="3"/>
        <v/>
      </c>
      <c r="AE52" s="362"/>
      <c r="AF52" s="362"/>
      <c r="AG52" s="362"/>
      <c r="AH52" s="306"/>
      <c r="AI52" s="307"/>
      <c r="AJ52" s="316"/>
      <c r="AK52" s="316"/>
    </row>
    <row r="53" spans="1:37" ht="15" customHeight="1">
      <c r="A53" s="35" t="str">
        <f t="shared" si="0"/>
        <v/>
      </c>
      <c r="B53" s="65" t="str">
        <f t="shared" si="1"/>
        <v/>
      </c>
      <c r="C53" s="112"/>
      <c r="D53" s="315">
        <v>41</v>
      </c>
      <c r="E53" s="314"/>
      <c r="F53" s="314" t="str">
        <f>IF('Sign-On'!H51="","",'Sign-On'!H51)</f>
        <v/>
      </c>
      <c r="G53" s="314"/>
      <c r="H53" s="314"/>
      <c r="I53" s="362" t="str">
        <f>IF('Sign-On'!B51="","",'Sign-On'!B51)</f>
        <v/>
      </c>
      <c r="J53" s="362"/>
      <c r="K53" s="362"/>
      <c r="L53" s="362"/>
      <c r="M53" s="362"/>
      <c r="N53" s="362"/>
      <c r="O53" s="362"/>
      <c r="P53" s="362"/>
      <c r="Q53" s="362" t="str">
        <f>IF('Sign-On'!D51="","",'Sign-On'!D51)</f>
        <v/>
      </c>
      <c r="R53" s="362"/>
      <c r="S53" s="362"/>
      <c r="T53" s="362"/>
      <c r="U53" s="362"/>
      <c r="V53" s="362"/>
      <c r="W53" s="362"/>
      <c r="X53" s="362"/>
      <c r="Y53" s="314" t="str">
        <f>IF('Sign-On'!F51="","",'Sign-On'!F51)</f>
        <v/>
      </c>
      <c r="Z53" s="314"/>
      <c r="AA53" s="258"/>
      <c r="AB53" s="258"/>
      <c r="AC53" s="258"/>
      <c r="AD53" s="313" t="str">
        <f t="shared" si="3"/>
        <v/>
      </c>
      <c r="AE53" s="362"/>
      <c r="AF53" s="362"/>
      <c r="AG53" s="362"/>
      <c r="AH53" s="306"/>
      <c r="AI53" s="307"/>
      <c r="AJ53" s="316"/>
      <c r="AK53" s="316"/>
    </row>
    <row r="54" spans="1:37">
      <c r="A54" s="35" t="str">
        <f t="shared" si="0"/>
        <v/>
      </c>
      <c r="B54" s="65" t="str">
        <f t="shared" si="1"/>
        <v/>
      </c>
      <c r="C54" s="112"/>
      <c r="D54" s="315">
        <v>42</v>
      </c>
      <c r="E54" s="314"/>
      <c r="F54" s="314" t="str">
        <f>IF('Sign-On'!H52="","",'Sign-On'!H52)</f>
        <v>442330</v>
      </c>
      <c r="G54" s="314"/>
      <c r="H54" s="314"/>
      <c r="I54" s="362" t="str">
        <f>IF('Sign-On'!B52="","",'Sign-On'!B52)</f>
        <v>Martin Lugg</v>
      </c>
      <c r="J54" s="362"/>
      <c r="K54" s="362"/>
      <c r="L54" s="362"/>
      <c r="M54" s="362"/>
      <c r="N54" s="362"/>
      <c r="O54" s="362"/>
      <c r="P54" s="362"/>
      <c r="Q54" s="362" t="str">
        <f>IF('Sign-On'!D52="","",'Sign-On'!D52)</f>
        <v>Revolution CT</v>
      </c>
      <c r="R54" s="362"/>
      <c r="S54" s="362"/>
      <c r="T54" s="362"/>
      <c r="U54" s="362"/>
      <c r="V54" s="362"/>
      <c r="W54" s="362"/>
      <c r="X54" s="362"/>
      <c r="Y54" s="314" t="str">
        <f>IF('Sign-On'!F52="","",'Sign-On'!F52)</f>
        <v>V</v>
      </c>
      <c r="Z54" s="314"/>
      <c r="AA54" s="258"/>
      <c r="AB54" s="258"/>
      <c r="AC54" s="258"/>
      <c r="AD54" s="313" t="str">
        <f t="shared" si="3"/>
        <v/>
      </c>
      <c r="AE54" s="362"/>
      <c r="AF54" s="362"/>
      <c r="AG54" s="362"/>
      <c r="AH54" s="306"/>
      <c r="AI54" s="307"/>
      <c r="AJ54" s="316"/>
      <c r="AK54" s="316"/>
    </row>
    <row r="55" spans="1:37">
      <c r="A55" s="35" t="str">
        <f t="shared" si="0"/>
        <v/>
      </c>
      <c r="B55" s="65" t="str">
        <f t="shared" si="1"/>
        <v/>
      </c>
      <c r="C55" s="112"/>
      <c r="D55" s="315">
        <v>43</v>
      </c>
      <c r="E55" s="314"/>
      <c r="F55" s="314" t="str">
        <f>IF('Sign-On'!H53="","",'Sign-On'!H53)</f>
        <v>1716241</v>
      </c>
      <c r="G55" s="314"/>
      <c r="H55" s="314"/>
      <c r="I55" s="362" t="str">
        <f>IF('Sign-On'!B53="","",'Sign-On'!B53)</f>
        <v>Isla Easto</v>
      </c>
      <c r="J55" s="362"/>
      <c r="K55" s="362"/>
      <c r="L55" s="362"/>
      <c r="M55" s="362"/>
      <c r="N55" s="362"/>
      <c r="O55" s="362"/>
      <c r="P55" s="362"/>
      <c r="Q55" s="362" t="str">
        <f>IF('Sign-On'!D53="","",'Sign-On'!D53)</f>
        <v>Solas Cycling</v>
      </c>
      <c r="R55" s="362"/>
      <c r="S55" s="362"/>
      <c r="T55" s="362"/>
      <c r="U55" s="362"/>
      <c r="V55" s="362"/>
      <c r="W55" s="362"/>
      <c r="X55" s="362"/>
      <c r="Y55" s="314" t="str">
        <f>IF('Sign-On'!F53="","",'Sign-On'!F53)</f>
        <v>F</v>
      </c>
      <c r="Z55" s="314"/>
      <c r="AA55" s="258"/>
      <c r="AB55" s="258"/>
      <c r="AC55" s="258"/>
      <c r="AD55" s="313" t="str">
        <f t="shared" si="3"/>
        <v/>
      </c>
      <c r="AE55" s="362"/>
      <c r="AF55" s="362"/>
      <c r="AG55" s="362"/>
      <c r="AH55" s="306"/>
      <c r="AI55" s="307"/>
      <c r="AJ55" s="316"/>
      <c r="AK55" s="316"/>
    </row>
    <row r="56" spans="1:37">
      <c r="A56" s="35" t="str">
        <f t="shared" si="0"/>
        <v/>
      </c>
      <c r="B56" s="65" t="str">
        <f t="shared" si="1"/>
        <v/>
      </c>
      <c r="C56" s="112"/>
      <c r="D56" s="315">
        <v>44</v>
      </c>
      <c r="E56" s="314"/>
      <c r="F56" s="314" t="str">
        <f>IF('Sign-On'!H54="","",'Sign-On'!H54)</f>
        <v>436318</v>
      </c>
      <c r="G56" s="314"/>
      <c r="H56" s="314"/>
      <c r="I56" s="362" t="str">
        <f>IF('Sign-On'!B54="","",'Sign-On'!B54)</f>
        <v>Robert Cowie</v>
      </c>
      <c r="J56" s="362"/>
      <c r="K56" s="362"/>
      <c r="L56" s="362"/>
      <c r="M56" s="362"/>
      <c r="N56" s="362"/>
      <c r="O56" s="362"/>
      <c r="P56" s="362"/>
      <c r="Q56" s="362" t="str">
        <f>IF('Sign-On'!D54="","",'Sign-On'!D54)</f>
        <v>Aberdeen Wheelers Cycling Club</v>
      </c>
      <c r="R56" s="362"/>
      <c r="S56" s="362"/>
      <c r="T56" s="362"/>
      <c r="U56" s="362"/>
      <c r="V56" s="362"/>
      <c r="W56" s="362"/>
      <c r="X56" s="362"/>
      <c r="Y56" s="314" t="str">
        <f>IF('Sign-On'!F54="","",'Sign-On'!F54)</f>
        <v>V</v>
      </c>
      <c r="Z56" s="314"/>
      <c r="AA56" s="258"/>
      <c r="AB56" s="258"/>
      <c r="AC56" s="258"/>
      <c r="AD56" s="313" t="str">
        <f t="shared" si="3"/>
        <v/>
      </c>
      <c r="AE56" s="362"/>
      <c r="AF56" s="362"/>
      <c r="AG56" s="362"/>
      <c r="AH56" s="306"/>
      <c r="AI56" s="307"/>
      <c r="AJ56" s="316"/>
      <c r="AK56" s="316"/>
    </row>
    <row r="57" spans="1:37">
      <c r="A57" s="35" t="str">
        <f t="shared" si="0"/>
        <v/>
      </c>
      <c r="B57" s="65" t="str">
        <f t="shared" si="1"/>
        <v/>
      </c>
      <c r="C57" s="112"/>
      <c r="D57" s="315">
        <v>45</v>
      </c>
      <c r="E57" s="314"/>
      <c r="F57" s="314" t="str">
        <f>IF('Sign-On'!H55="","",'Sign-On'!H55)</f>
        <v>1085571</v>
      </c>
      <c r="G57" s="314"/>
      <c r="H57" s="314"/>
      <c r="I57" s="362" t="str">
        <f>IF('Sign-On'!B55="","",'Sign-On'!B55)</f>
        <v>Colin Johnston</v>
      </c>
      <c r="J57" s="362"/>
      <c r="K57" s="362"/>
      <c r="L57" s="362"/>
      <c r="M57" s="362"/>
      <c r="N57" s="362"/>
      <c r="O57" s="362"/>
      <c r="P57" s="362"/>
      <c r="Q57" s="362" t="str">
        <f>IF('Sign-On'!D55="","",'Sign-On'!D55)</f>
        <v>Vanelli-Project Go</v>
      </c>
      <c r="R57" s="362"/>
      <c r="S57" s="362"/>
      <c r="T57" s="362"/>
      <c r="U57" s="362"/>
      <c r="V57" s="362"/>
      <c r="W57" s="362"/>
      <c r="X57" s="362"/>
      <c r="Y57" s="314" t="str">
        <f>IF('Sign-On'!F55="","",'Sign-On'!F55)</f>
        <v>JM</v>
      </c>
      <c r="Z57" s="314"/>
      <c r="AA57" s="258"/>
      <c r="AB57" s="258"/>
      <c r="AC57" s="258"/>
      <c r="AD57" s="313" t="str">
        <f t="shared" si="3"/>
        <v/>
      </c>
      <c r="AE57" s="362"/>
      <c r="AF57" s="362"/>
      <c r="AG57" s="362"/>
      <c r="AH57" s="306"/>
      <c r="AI57" s="307"/>
      <c r="AJ57" s="316"/>
      <c r="AK57" s="316"/>
    </row>
    <row r="58" spans="1:37">
      <c r="A58" s="35" t="str">
        <f t="shared" si="0"/>
        <v/>
      </c>
      <c r="B58" s="65" t="str">
        <f t="shared" si="1"/>
        <v/>
      </c>
      <c r="C58" s="112"/>
      <c r="D58" s="315">
        <v>46</v>
      </c>
      <c r="E58" s="314"/>
      <c r="F58" s="314" t="str">
        <f>IF('Sign-On'!H56="","",'Sign-On'!H56)</f>
        <v>1821975</v>
      </c>
      <c r="G58" s="314"/>
      <c r="H58" s="314"/>
      <c r="I58" s="362" t="str">
        <f>IF('Sign-On'!B56="","",'Sign-On'!B56)</f>
        <v>Paul Mason</v>
      </c>
      <c r="J58" s="362"/>
      <c r="K58" s="362"/>
      <c r="L58" s="362"/>
      <c r="M58" s="362"/>
      <c r="N58" s="362"/>
      <c r="O58" s="362"/>
      <c r="P58" s="362"/>
      <c r="Q58" s="362" t="str">
        <f>IF('Sign-On'!D56="","",'Sign-On'!D56)</f>
        <v>Royal Navy Cycling</v>
      </c>
      <c r="R58" s="362"/>
      <c r="S58" s="362"/>
      <c r="T58" s="362"/>
      <c r="U58" s="362"/>
      <c r="V58" s="362"/>
      <c r="W58" s="362"/>
      <c r="X58" s="362"/>
      <c r="Y58" s="314" t="str">
        <f>IF('Sign-On'!F56="","",'Sign-On'!F56)</f>
        <v>V</v>
      </c>
      <c r="Z58" s="314"/>
      <c r="AA58" s="258"/>
      <c r="AB58" s="258"/>
      <c r="AC58" s="258"/>
      <c r="AD58" s="313" t="str">
        <f t="shared" si="3"/>
        <v/>
      </c>
      <c r="AE58" s="362"/>
      <c r="AF58" s="362"/>
      <c r="AG58" s="362"/>
      <c r="AH58" s="306"/>
      <c r="AI58" s="307"/>
      <c r="AJ58" s="316"/>
      <c r="AK58" s="316"/>
    </row>
    <row r="59" spans="1:37">
      <c r="A59" s="35" t="str">
        <f t="shared" si="0"/>
        <v/>
      </c>
      <c r="B59" s="65" t="str">
        <f t="shared" si="1"/>
        <v/>
      </c>
      <c r="C59" s="112"/>
      <c r="D59" s="315">
        <v>47</v>
      </c>
      <c r="E59" s="314"/>
      <c r="F59" s="314" t="str">
        <f>IF('Sign-On'!H57="","",'Sign-On'!H57)</f>
        <v>430399</v>
      </c>
      <c r="G59" s="314"/>
      <c r="H59" s="314"/>
      <c r="I59" s="362" t="str">
        <f>IF('Sign-On'!B57="","",'Sign-On'!B57)</f>
        <v>Douglas Macdonald</v>
      </c>
      <c r="J59" s="362"/>
      <c r="K59" s="362"/>
      <c r="L59" s="362"/>
      <c r="M59" s="362"/>
      <c r="N59" s="362"/>
      <c r="O59" s="362"/>
      <c r="P59" s="362"/>
      <c r="Q59" s="362" t="str">
        <f>IF('Sign-On'!D57="","",'Sign-On'!D57)</f>
        <v>Fullarton Wheelers Cycling Club</v>
      </c>
      <c r="R59" s="362"/>
      <c r="S59" s="362"/>
      <c r="T59" s="362"/>
      <c r="U59" s="362"/>
      <c r="V59" s="362"/>
      <c r="W59" s="362"/>
      <c r="X59" s="362"/>
      <c r="Y59" s="314" t="str">
        <f>IF('Sign-On'!F57="","",'Sign-On'!F57)</f>
        <v>V</v>
      </c>
      <c r="Z59" s="314"/>
      <c r="AA59" s="258"/>
      <c r="AB59" s="258"/>
      <c r="AC59" s="258"/>
      <c r="AD59" s="313" t="str">
        <f t="shared" si="3"/>
        <v/>
      </c>
      <c r="AE59" s="362"/>
      <c r="AF59" s="362"/>
      <c r="AG59" s="362"/>
      <c r="AH59" s="306"/>
      <c r="AI59" s="307"/>
      <c r="AJ59" s="316"/>
      <c r="AK59" s="316"/>
    </row>
    <row r="60" spans="1:37">
      <c r="A60" s="35" t="str">
        <f t="shared" si="0"/>
        <v/>
      </c>
      <c r="B60" s="65" t="str">
        <f t="shared" si="1"/>
        <v/>
      </c>
      <c r="C60" s="112"/>
      <c r="D60" s="315">
        <v>48</v>
      </c>
      <c r="E60" s="314"/>
      <c r="F60" s="314" t="str">
        <f>IF('Sign-On'!H58="","",'Sign-On'!H58)</f>
        <v>833828</v>
      </c>
      <c r="G60" s="314"/>
      <c r="H60" s="314"/>
      <c r="I60" s="362" t="str">
        <f>IF('Sign-On'!B58="","",'Sign-On'!B58)</f>
        <v>Eric Davidson</v>
      </c>
      <c r="J60" s="362"/>
      <c r="K60" s="362"/>
      <c r="L60" s="362"/>
      <c r="M60" s="362"/>
      <c r="N60" s="362"/>
      <c r="O60" s="362"/>
      <c r="P60" s="362"/>
      <c r="Q60" s="362" t="str">
        <f>IF('Sign-On'!D58="","",'Sign-On'!D58)</f>
        <v>Moray Firth Cycling Club</v>
      </c>
      <c r="R60" s="362"/>
      <c r="S60" s="362"/>
      <c r="T60" s="362"/>
      <c r="U60" s="362"/>
      <c r="V60" s="362"/>
      <c r="W60" s="362"/>
      <c r="X60" s="362"/>
      <c r="Y60" s="314" t="str">
        <f>IF('Sign-On'!F58="","",'Sign-On'!F58)</f>
        <v>V</v>
      </c>
      <c r="Z60" s="314"/>
      <c r="AA60" s="258"/>
      <c r="AB60" s="258"/>
      <c r="AC60" s="258"/>
      <c r="AD60" s="313" t="str">
        <f t="shared" si="3"/>
        <v/>
      </c>
      <c r="AE60" s="362"/>
      <c r="AF60" s="362"/>
      <c r="AG60" s="362"/>
      <c r="AH60" s="306"/>
      <c r="AI60" s="307"/>
      <c r="AJ60" s="316"/>
      <c r="AK60" s="316"/>
    </row>
    <row r="61" spans="1:37">
      <c r="A61" s="35" t="str">
        <f t="shared" si="0"/>
        <v/>
      </c>
      <c r="B61" s="65" t="str">
        <f t="shared" si="1"/>
        <v/>
      </c>
      <c r="C61" s="112"/>
      <c r="D61" s="315">
        <v>49</v>
      </c>
      <c r="E61" s="314"/>
      <c r="F61" s="314" t="str">
        <f>IF('Sign-On'!H59="","",'Sign-On'!H59)</f>
        <v>703907</v>
      </c>
      <c r="G61" s="314"/>
      <c r="H61" s="314"/>
      <c r="I61" s="362" t="str">
        <f>IF('Sign-On'!B59="","",'Sign-On'!B59)</f>
        <v>Hector Nicolson</v>
      </c>
      <c r="J61" s="362"/>
      <c r="K61" s="362"/>
      <c r="L61" s="362"/>
      <c r="M61" s="362"/>
      <c r="N61" s="362"/>
      <c r="O61" s="362"/>
      <c r="P61" s="362"/>
      <c r="Q61" s="362" t="str">
        <f>IF('Sign-On'!D59="","",'Sign-On'!D59)</f>
        <v>Moray Firth Cycling Club</v>
      </c>
      <c r="R61" s="362"/>
      <c r="S61" s="362"/>
      <c r="T61" s="362"/>
      <c r="U61" s="362"/>
      <c r="V61" s="362"/>
      <c r="W61" s="362"/>
      <c r="X61" s="362"/>
      <c r="Y61" s="314" t="str">
        <f>IF('Sign-On'!F59="","",'Sign-On'!F59)</f>
        <v>V</v>
      </c>
      <c r="Z61" s="314"/>
      <c r="AA61" s="258"/>
      <c r="AB61" s="258"/>
      <c r="AC61" s="258"/>
      <c r="AD61" s="313" t="str">
        <f t="shared" si="3"/>
        <v/>
      </c>
      <c r="AE61" s="362"/>
      <c r="AF61" s="362"/>
      <c r="AG61" s="362"/>
      <c r="AH61" s="306"/>
      <c r="AI61" s="307"/>
      <c r="AJ61" s="316"/>
      <c r="AK61" s="316"/>
    </row>
    <row r="62" spans="1:37">
      <c r="A62" s="35" t="str">
        <f t="shared" si="0"/>
        <v/>
      </c>
      <c r="B62" s="65" t="str">
        <f t="shared" si="1"/>
        <v/>
      </c>
      <c r="C62" s="112"/>
      <c r="D62" s="315">
        <v>50</v>
      </c>
      <c r="E62" s="314"/>
      <c r="F62" s="314" t="str">
        <f>IF('Sign-On'!H60="","",'Sign-On'!H60)</f>
        <v>1554243</v>
      </c>
      <c r="G62" s="314"/>
      <c r="H62" s="314"/>
      <c r="I62" s="362" t="str">
        <f>IF('Sign-On'!B60="","",'Sign-On'!B60)</f>
        <v>Garry Greenaway</v>
      </c>
      <c r="J62" s="362"/>
      <c r="K62" s="362"/>
      <c r="L62" s="362"/>
      <c r="M62" s="362"/>
      <c r="N62" s="362"/>
      <c r="O62" s="362"/>
      <c r="P62" s="362"/>
      <c r="Q62" s="362" t="str">
        <f>IF('Sign-On'!D60="","",'Sign-On'!D60)</f>
        <v>Vanelli-Project Go</v>
      </c>
      <c r="R62" s="362"/>
      <c r="S62" s="362"/>
      <c r="T62" s="362"/>
      <c r="U62" s="362"/>
      <c r="V62" s="362"/>
      <c r="W62" s="362"/>
      <c r="X62" s="362"/>
      <c r="Y62" s="314" t="str">
        <f>IF('Sign-On'!F60="","",'Sign-On'!F60)</f>
        <v>V</v>
      </c>
      <c r="Z62" s="314"/>
      <c r="AA62" s="258"/>
      <c r="AB62" s="258"/>
      <c r="AC62" s="258"/>
      <c r="AD62" s="313" t="str">
        <f t="shared" si="3"/>
        <v/>
      </c>
      <c r="AE62" s="362"/>
      <c r="AF62" s="362"/>
      <c r="AG62" s="362"/>
      <c r="AH62" s="306"/>
      <c r="AI62" s="307"/>
      <c r="AJ62" s="316"/>
      <c r="AK62" s="316"/>
    </row>
    <row r="63" spans="1:37">
      <c r="A63" s="35" t="str">
        <f t="shared" si="0"/>
        <v/>
      </c>
      <c r="B63" s="65" t="str">
        <f t="shared" si="1"/>
        <v/>
      </c>
      <c r="C63" s="112"/>
      <c r="D63" s="315">
        <v>51</v>
      </c>
      <c r="E63" s="314"/>
      <c r="F63" s="314" t="str">
        <f>IF('Sign-On'!H61="","",'Sign-On'!H61)</f>
        <v>966611</v>
      </c>
      <c r="G63" s="314"/>
      <c r="H63" s="314"/>
      <c r="I63" s="362" t="str">
        <f>IF('Sign-On'!B61="","",'Sign-On'!B61)</f>
        <v>Paul Parrish</v>
      </c>
      <c r="J63" s="362"/>
      <c r="K63" s="362"/>
      <c r="L63" s="362"/>
      <c r="M63" s="362"/>
      <c r="N63" s="362"/>
      <c r="O63" s="362"/>
      <c r="P63" s="362"/>
      <c r="Q63" s="362" t="str">
        <f>IF('Sign-On'!D61="","",'Sign-On'!D61)</f>
        <v>Cairngorm CC</v>
      </c>
      <c r="R63" s="362"/>
      <c r="S63" s="362"/>
      <c r="T63" s="362"/>
      <c r="U63" s="362"/>
      <c r="V63" s="362"/>
      <c r="W63" s="362"/>
      <c r="X63" s="362"/>
      <c r="Y63" s="314" t="str">
        <f>IF('Sign-On'!F61="","",'Sign-On'!F61)</f>
        <v>V</v>
      </c>
      <c r="Z63" s="314"/>
      <c r="AA63" s="258"/>
      <c r="AB63" s="258"/>
      <c r="AC63" s="258"/>
      <c r="AD63" s="313" t="str">
        <f t="shared" si="3"/>
        <v/>
      </c>
      <c r="AE63" s="362"/>
      <c r="AF63" s="362"/>
      <c r="AG63" s="362"/>
      <c r="AH63" s="306"/>
      <c r="AI63" s="307"/>
      <c r="AJ63" s="316"/>
      <c r="AK63" s="316"/>
    </row>
    <row r="64" spans="1:37">
      <c r="A64" s="35" t="str">
        <f t="shared" si="0"/>
        <v/>
      </c>
      <c r="B64" s="65" t="str">
        <f t="shared" si="1"/>
        <v/>
      </c>
      <c r="C64" s="112"/>
      <c r="D64" s="315">
        <v>52</v>
      </c>
      <c r="E64" s="314"/>
      <c r="F64" s="314" t="str">
        <f>IF('Sign-On'!H62="","",'Sign-On'!H62)</f>
        <v>1824581</v>
      </c>
      <c r="G64" s="314"/>
      <c r="H64" s="314"/>
      <c r="I64" s="362" t="str">
        <f>IF('Sign-On'!B62="","",'Sign-On'!B62)</f>
        <v>Bruce Paterson</v>
      </c>
      <c r="J64" s="362"/>
      <c r="K64" s="362"/>
      <c r="L64" s="362"/>
      <c r="M64" s="362"/>
      <c r="N64" s="362"/>
      <c r="O64" s="362"/>
      <c r="P64" s="362"/>
      <c r="Q64" s="362" t="str">
        <f>IF('Sign-On'!D62="","",'Sign-On'!D62)</f>
        <v>Moray Firth Cycling Club</v>
      </c>
      <c r="R64" s="362"/>
      <c r="S64" s="362"/>
      <c r="T64" s="362"/>
      <c r="U64" s="362"/>
      <c r="V64" s="362"/>
      <c r="W64" s="362"/>
      <c r="X64" s="362"/>
      <c r="Y64" s="314" t="str">
        <f>IF('Sign-On'!F62="","",'Sign-On'!F62)</f>
        <v>S</v>
      </c>
      <c r="Z64" s="314"/>
      <c r="AA64" s="258"/>
      <c r="AB64" s="258"/>
      <c r="AC64" s="258"/>
      <c r="AD64" s="313" t="str">
        <f t="shared" si="3"/>
        <v/>
      </c>
      <c r="AE64" s="362"/>
      <c r="AF64" s="362"/>
      <c r="AG64" s="362"/>
      <c r="AH64" s="306"/>
      <c r="AI64" s="307"/>
      <c r="AJ64" s="316"/>
      <c r="AK64" s="316"/>
    </row>
    <row r="65" spans="1:37">
      <c r="A65" s="35" t="str">
        <f t="shared" si="0"/>
        <v/>
      </c>
      <c r="B65" s="65" t="str">
        <f t="shared" si="1"/>
        <v/>
      </c>
      <c r="C65" s="112"/>
      <c r="D65" s="315">
        <v>53</v>
      </c>
      <c r="E65" s="314"/>
      <c r="F65" s="314" t="str">
        <f>IF('Sign-On'!H63="","",'Sign-On'!H63)</f>
        <v>1705577</v>
      </c>
      <c r="G65" s="314"/>
      <c r="H65" s="314"/>
      <c r="I65" s="362" t="str">
        <f>IF('Sign-On'!B63="","",'Sign-On'!B63)</f>
        <v>Tyler Clare</v>
      </c>
      <c r="J65" s="362"/>
      <c r="K65" s="362"/>
      <c r="L65" s="362"/>
      <c r="M65" s="362"/>
      <c r="N65" s="362"/>
      <c r="O65" s="362"/>
      <c r="P65" s="362"/>
      <c r="Q65" s="362" t="str">
        <f>IF('Sign-On'!D63="","",'Sign-On'!D63)</f>
        <v>Torvelo Racing</v>
      </c>
      <c r="R65" s="362"/>
      <c r="S65" s="362"/>
      <c r="T65" s="362"/>
      <c r="U65" s="362"/>
      <c r="V65" s="362"/>
      <c r="W65" s="362"/>
      <c r="X65" s="362"/>
      <c r="Y65" s="314" t="str">
        <f>IF('Sign-On'!F63="","",'Sign-On'!F63)</f>
        <v>S</v>
      </c>
      <c r="Z65" s="314"/>
      <c r="AA65" s="258"/>
      <c r="AB65" s="258"/>
      <c r="AC65" s="258"/>
      <c r="AD65" s="313" t="str">
        <f t="shared" si="3"/>
        <v/>
      </c>
      <c r="AE65" s="362"/>
      <c r="AF65" s="362"/>
      <c r="AG65" s="362"/>
      <c r="AH65" s="306"/>
      <c r="AI65" s="307"/>
      <c r="AJ65" s="316"/>
      <c r="AK65" s="316"/>
    </row>
    <row r="66" spans="1:37">
      <c r="A66" s="35" t="str">
        <f t="shared" si="0"/>
        <v/>
      </c>
      <c r="B66" s="65" t="str">
        <f t="shared" si="1"/>
        <v/>
      </c>
      <c r="C66" s="112"/>
      <c r="D66" s="315">
        <v>54</v>
      </c>
      <c r="E66" s="314"/>
      <c r="F66" s="314" t="str">
        <f>IF('Sign-On'!H64="","",'Sign-On'!H64)</f>
        <v>1774761</v>
      </c>
      <c r="G66" s="314"/>
      <c r="H66" s="314"/>
      <c r="I66" s="362" t="str">
        <f>IF('Sign-On'!B64="","",'Sign-On'!B64)</f>
        <v>Callum Deboys</v>
      </c>
      <c r="J66" s="362"/>
      <c r="K66" s="362"/>
      <c r="L66" s="362"/>
      <c r="M66" s="362"/>
      <c r="N66" s="362"/>
      <c r="O66" s="362"/>
      <c r="P66" s="362"/>
      <c r="Q66" s="362" t="str">
        <f>IF('Sign-On'!D64="","",'Sign-On'!D64)</f>
        <v>GTR - Return To Life</v>
      </c>
      <c r="R66" s="362"/>
      <c r="S66" s="362"/>
      <c r="T66" s="362"/>
      <c r="U66" s="362"/>
      <c r="V66" s="362"/>
      <c r="W66" s="362"/>
      <c r="X66" s="362"/>
      <c r="Y66" s="314" t="str">
        <f>IF('Sign-On'!F64="","",'Sign-On'!F64)</f>
        <v>S</v>
      </c>
      <c r="Z66" s="314"/>
      <c r="AA66" s="258"/>
      <c r="AB66" s="258"/>
      <c r="AC66" s="258"/>
      <c r="AD66" s="313" t="str">
        <f t="shared" si="3"/>
        <v/>
      </c>
      <c r="AE66" s="362"/>
      <c r="AF66" s="362"/>
      <c r="AG66" s="362"/>
      <c r="AH66" s="306"/>
      <c r="AI66" s="307"/>
      <c r="AJ66" s="316"/>
      <c r="AK66" s="316"/>
    </row>
    <row r="67" spans="1:37">
      <c r="A67" s="35" t="str">
        <f t="shared" si="0"/>
        <v/>
      </c>
      <c r="B67" s="65" t="str">
        <f t="shared" si="1"/>
        <v/>
      </c>
      <c r="C67" s="112"/>
      <c r="D67" s="315">
        <v>55</v>
      </c>
      <c r="E67" s="314"/>
      <c r="F67" s="314" t="str">
        <f>IF('Sign-On'!H65="","",'Sign-On'!H65)</f>
        <v>1244492</v>
      </c>
      <c r="G67" s="314"/>
      <c r="H67" s="314"/>
      <c r="I67" s="362" t="str">
        <f>IF('Sign-On'!B65="","",'Sign-On'!B65)</f>
        <v>Chris Petrie</v>
      </c>
      <c r="J67" s="362"/>
      <c r="K67" s="362"/>
      <c r="L67" s="362"/>
      <c r="M67" s="362"/>
      <c r="N67" s="362"/>
      <c r="O67" s="362"/>
      <c r="P67" s="362"/>
      <c r="Q67" s="362" t="str">
        <f>IF('Sign-On'!D65="","",'Sign-On'!D65)</f>
        <v>Aberdeen Wheelers Cycling Club</v>
      </c>
      <c r="R67" s="362"/>
      <c r="S67" s="362"/>
      <c r="T67" s="362"/>
      <c r="U67" s="362"/>
      <c r="V67" s="362"/>
      <c r="W67" s="362"/>
      <c r="X67" s="362"/>
      <c r="Y67" s="314" t="str">
        <f>IF('Sign-On'!F65="","",'Sign-On'!F65)</f>
        <v>V</v>
      </c>
      <c r="Z67" s="314"/>
      <c r="AA67" s="258"/>
      <c r="AB67" s="258"/>
      <c r="AC67" s="258"/>
      <c r="AD67" s="313" t="str">
        <f t="shared" si="3"/>
        <v/>
      </c>
      <c r="AE67" s="362"/>
      <c r="AF67" s="362"/>
      <c r="AG67" s="362"/>
      <c r="AH67" s="306"/>
      <c r="AI67" s="307"/>
      <c r="AJ67" s="316"/>
      <c r="AK67" s="316"/>
    </row>
    <row r="68" spans="1:37">
      <c r="A68" s="35" t="str">
        <f t="shared" si="0"/>
        <v/>
      </c>
      <c r="B68" s="65" t="str">
        <f t="shared" si="1"/>
        <v/>
      </c>
      <c r="C68" s="112"/>
      <c r="D68" s="315">
        <v>56</v>
      </c>
      <c r="E68" s="314"/>
      <c r="F68" s="314" t="str">
        <f>IF('Sign-On'!H66="","",'Sign-On'!H66)</f>
        <v>202161</v>
      </c>
      <c r="G68" s="314"/>
      <c r="H68" s="314"/>
      <c r="I68" s="362" t="str">
        <f>IF('Sign-On'!B66="","",'Sign-On'!B66)</f>
        <v>Alasdair Washington</v>
      </c>
      <c r="J68" s="362"/>
      <c r="K68" s="362"/>
      <c r="L68" s="362"/>
      <c r="M68" s="362"/>
      <c r="N68" s="362"/>
      <c r="O68" s="362"/>
      <c r="P68" s="362"/>
      <c r="Q68" s="362" t="str">
        <f>IF('Sign-On'!D66="","",'Sign-On'!D66)</f>
        <v>Caithness CC</v>
      </c>
      <c r="R68" s="362"/>
      <c r="S68" s="362"/>
      <c r="T68" s="362"/>
      <c r="U68" s="362"/>
      <c r="V68" s="362"/>
      <c r="W68" s="362"/>
      <c r="X68" s="362"/>
      <c r="Y68" s="314" t="str">
        <f>IF('Sign-On'!F66="","",'Sign-On'!F66)</f>
        <v>V</v>
      </c>
      <c r="Z68" s="314"/>
      <c r="AA68" s="258"/>
      <c r="AB68" s="258"/>
      <c r="AC68" s="258"/>
      <c r="AD68" s="313" t="str">
        <f t="shared" si="3"/>
        <v/>
      </c>
      <c r="AE68" s="362"/>
      <c r="AF68" s="362"/>
      <c r="AG68" s="362"/>
      <c r="AH68" s="306"/>
      <c r="AI68" s="307"/>
      <c r="AJ68" s="316"/>
      <c r="AK68" s="316"/>
    </row>
    <row r="69" spans="1:37">
      <c r="A69" s="35" t="str">
        <f t="shared" si="0"/>
        <v/>
      </c>
      <c r="B69" s="65" t="str">
        <f t="shared" si="1"/>
        <v/>
      </c>
      <c r="C69" s="112"/>
      <c r="D69" s="315">
        <v>57</v>
      </c>
      <c r="E69" s="314"/>
      <c r="F69" s="314" t="str">
        <f>IF('Sign-On'!H67="","",'Sign-On'!H67)</f>
        <v>1279184</v>
      </c>
      <c r="G69" s="314"/>
      <c r="H69" s="314"/>
      <c r="I69" s="362" t="str">
        <f>IF('Sign-On'!B67="","",'Sign-On'!B67)</f>
        <v>Liam McNamara</v>
      </c>
      <c r="J69" s="362"/>
      <c r="K69" s="362"/>
      <c r="L69" s="362"/>
      <c r="M69" s="362"/>
      <c r="N69" s="362"/>
      <c r="O69" s="362"/>
      <c r="P69" s="362"/>
      <c r="Q69" s="362" t="str">
        <f>IF('Sign-On'!D67="","",'Sign-On'!D67)</f>
        <v>Elgin CC</v>
      </c>
      <c r="R69" s="362"/>
      <c r="S69" s="362"/>
      <c r="T69" s="362"/>
      <c r="U69" s="362"/>
      <c r="V69" s="362"/>
      <c r="W69" s="362"/>
      <c r="X69" s="362"/>
      <c r="Y69" s="314" t="str">
        <f>IF('Sign-On'!F67="","",'Sign-On'!F67)</f>
        <v>S</v>
      </c>
      <c r="Z69" s="314"/>
      <c r="AA69" s="258"/>
      <c r="AB69" s="258"/>
      <c r="AC69" s="258"/>
      <c r="AD69" s="313" t="str">
        <f t="shared" si="3"/>
        <v/>
      </c>
      <c r="AE69" s="362"/>
      <c r="AF69" s="362"/>
      <c r="AG69" s="362"/>
      <c r="AH69" s="306"/>
      <c r="AI69" s="307"/>
      <c r="AJ69" s="316"/>
      <c r="AK69" s="316"/>
    </row>
    <row r="70" spans="1:37">
      <c r="A70" s="35" t="str">
        <f t="shared" si="0"/>
        <v/>
      </c>
      <c r="B70" s="65" t="str">
        <f t="shared" si="1"/>
        <v/>
      </c>
      <c r="C70" s="112"/>
      <c r="D70" s="315">
        <v>58</v>
      </c>
      <c r="E70" s="314"/>
      <c r="F70" s="314" t="str">
        <f>IF('Sign-On'!H68="","",'Sign-On'!H68)</f>
        <v>421685</v>
      </c>
      <c r="G70" s="314"/>
      <c r="H70" s="314"/>
      <c r="I70" s="362" t="str">
        <f>IF('Sign-On'!B68="","",'Sign-On'!B68)</f>
        <v>Colin Duncan</v>
      </c>
      <c r="J70" s="362"/>
      <c r="K70" s="362"/>
      <c r="L70" s="362"/>
      <c r="M70" s="362"/>
      <c r="N70" s="362"/>
      <c r="O70" s="362"/>
      <c r="P70" s="362"/>
      <c r="Q70" s="362" t="str">
        <f>IF('Sign-On'!D68="","",'Sign-On'!D68)</f>
        <v>Elgin CC</v>
      </c>
      <c r="R70" s="362"/>
      <c r="S70" s="362"/>
      <c r="T70" s="362"/>
      <c r="U70" s="362"/>
      <c r="V70" s="362"/>
      <c r="W70" s="362"/>
      <c r="X70" s="362"/>
      <c r="Y70" s="314" t="str">
        <f>IF('Sign-On'!F68="","",'Sign-On'!F68)</f>
        <v>V</v>
      </c>
      <c r="Z70" s="314"/>
      <c r="AA70" s="258"/>
      <c r="AB70" s="258"/>
      <c r="AC70" s="258"/>
      <c r="AD70" s="313" t="str">
        <f t="shared" si="3"/>
        <v/>
      </c>
      <c r="AE70" s="362"/>
      <c r="AF70" s="362"/>
      <c r="AG70" s="362"/>
      <c r="AH70" s="306"/>
      <c r="AI70" s="307"/>
      <c r="AJ70" s="316"/>
      <c r="AK70" s="316"/>
    </row>
    <row r="71" spans="1:37">
      <c r="A71" s="35" t="str">
        <f t="shared" si="0"/>
        <v/>
      </c>
      <c r="B71" s="65" t="str">
        <f t="shared" si="1"/>
        <v/>
      </c>
      <c r="C71" s="112"/>
      <c r="D71" s="315">
        <v>59</v>
      </c>
      <c r="E71" s="314"/>
      <c r="F71" s="314" t="str">
        <f>IF('Sign-On'!H69="","",'Sign-On'!H69)</f>
        <v>202680</v>
      </c>
      <c r="G71" s="314"/>
      <c r="H71" s="314"/>
      <c r="I71" s="362" t="str">
        <f>IF('Sign-On'!B69="","",'Sign-On'!B69)</f>
        <v>Alexander Whyte</v>
      </c>
      <c r="J71" s="362"/>
      <c r="K71" s="362"/>
      <c r="L71" s="362"/>
      <c r="M71" s="362"/>
      <c r="N71" s="362"/>
      <c r="O71" s="362"/>
      <c r="P71" s="362"/>
      <c r="Q71" s="362" t="str">
        <f>IF('Sign-On'!D69="","",'Sign-On'!D69)</f>
        <v>Moray Firth Cycling Club</v>
      </c>
      <c r="R71" s="362"/>
      <c r="S71" s="362"/>
      <c r="T71" s="362"/>
      <c r="U71" s="362"/>
      <c r="V71" s="362"/>
      <c r="W71" s="362"/>
      <c r="X71" s="362"/>
      <c r="Y71" s="314" t="str">
        <f>IF('Sign-On'!F69="","",'Sign-On'!F69)</f>
        <v>V</v>
      </c>
      <c r="Z71" s="314"/>
      <c r="AA71" s="258"/>
      <c r="AB71" s="258"/>
      <c r="AC71" s="258"/>
      <c r="AD71" s="313" t="str">
        <f t="shared" si="3"/>
        <v/>
      </c>
      <c r="AE71" s="362"/>
      <c r="AF71" s="362"/>
      <c r="AG71" s="362"/>
      <c r="AH71" s="306"/>
      <c r="AI71" s="307"/>
      <c r="AJ71" s="316"/>
      <c r="AK71" s="316"/>
    </row>
    <row r="72" spans="1:37">
      <c r="A72" s="35" t="str">
        <f t="shared" si="0"/>
        <v/>
      </c>
      <c r="B72" s="65" t="str">
        <f t="shared" si="1"/>
        <v/>
      </c>
      <c r="C72" s="112"/>
      <c r="D72" s="315">
        <v>60</v>
      </c>
      <c r="E72" s="314"/>
      <c r="F72" s="314" t="str">
        <f>IF('Sign-On'!H70="","",'Sign-On'!H70)</f>
        <v>1198488</v>
      </c>
      <c r="G72" s="314"/>
      <c r="H72" s="314"/>
      <c r="I72" s="362" t="str">
        <f>IF('Sign-On'!B70="","",'Sign-On'!B70)</f>
        <v>Thomas Gelati</v>
      </c>
      <c r="J72" s="362"/>
      <c r="K72" s="362"/>
      <c r="L72" s="362"/>
      <c r="M72" s="362"/>
      <c r="N72" s="362"/>
      <c r="O72" s="362"/>
      <c r="P72" s="362"/>
      <c r="Q72" s="362" t="str">
        <f>IF('Sign-On'!D70="","",'Sign-On'!D70)</f>
        <v>Handsling Alba Development Road Team</v>
      </c>
      <c r="R72" s="362"/>
      <c r="S72" s="362"/>
      <c r="T72" s="362"/>
      <c r="U72" s="362"/>
      <c r="V72" s="362"/>
      <c r="W72" s="362"/>
      <c r="X72" s="362"/>
      <c r="Y72" s="314" t="str">
        <f>IF('Sign-On'!F70="","",'Sign-On'!F70)</f>
        <v>S</v>
      </c>
      <c r="Z72" s="314"/>
      <c r="AA72" s="258"/>
      <c r="AB72" s="258"/>
      <c r="AC72" s="258"/>
      <c r="AD72" s="313" t="str">
        <f t="shared" si="3"/>
        <v/>
      </c>
      <c r="AE72" s="362"/>
      <c r="AF72" s="362"/>
      <c r="AG72" s="362"/>
      <c r="AH72" s="306"/>
      <c r="AI72" s="307"/>
      <c r="AJ72" s="316"/>
      <c r="AK72" s="316"/>
    </row>
    <row r="73" spans="1:37">
      <c r="A73" s="35" t="str">
        <f t="shared" si="0"/>
        <v/>
      </c>
      <c r="B73" s="65" t="str">
        <f t="shared" si="1"/>
        <v/>
      </c>
      <c r="C73" s="112"/>
      <c r="D73" s="315">
        <v>61</v>
      </c>
      <c r="E73" s="314"/>
      <c r="F73" s="314" t="str">
        <f>IF('Sign-On'!H71="","",'Sign-On'!H71)</f>
        <v>1863190</v>
      </c>
      <c r="G73" s="314"/>
      <c r="H73" s="314"/>
      <c r="I73" s="362" t="str">
        <f>IF('Sign-On'!B71="","",'Sign-On'!B71)</f>
        <v>Darren Wisniewski</v>
      </c>
      <c r="J73" s="362"/>
      <c r="K73" s="362"/>
      <c r="L73" s="362"/>
      <c r="M73" s="362"/>
      <c r="N73" s="362"/>
      <c r="O73" s="362"/>
      <c r="P73" s="362"/>
      <c r="Q73" s="362" t="str">
        <f>IF('Sign-On'!D71="","",'Sign-On'!D71)</f>
        <v/>
      </c>
      <c r="R73" s="362"/>
      <c r="S73" s="362"/>
      <c r="T73" s="362"/>
      <c r="U73" s="362"/>
      <c r="V73" s="362"/>
      <c r="W73" s="362"/>
      <c r="X73" s="362"/>
      <c r="Y73" s="314" t="str">
        <f>IF('Sign-On'!F71="","",'Sign-On'!F71)</f>
        <v>S</v>
      </c>
      <c r="Z73" s="314"/>
      <c r="AA73" s="258"/>
      <c r="AB73" s="258"/>
      <c r="AC73" s="258"/>
      <c r="AD73" s="313" t="str">
        <f t="shared" si="3"/>
        <v/>
      </c>
      <c r="AE73" s="362"/>
      <c r="AF73" s="362"/>
      <c r="AG73" s="362"/>
      <c r="AH73" s="306"/>
      <c r="AI73" s="307"/>
      <c r="AJ73" s="316"/>
      <c r="AK73" s="316"/>
    </row>
    <row r="74" spans="1:37">
      <c r="A74" s="35" t="str">
        <f t="shared" si="0"/>
        <v/>
      </c>
      <c r="B74" s="65" t="str">
        <f t="shared" si="1"/>
        <v/>
      </c>
      <c r="C74" s="112"/>
      <c r="D74" s="315">
        <v>62</v>
      </c>
      <c r="E74" s="314"/>
      <c r="F74" s="314" t="str">
        <f>IF('Sign-On'!H72="","",'Sign-On'!H72)</f>
        <v>1713042</v>
      </c>
      <c r="G74" s="314"/>
      <c r="H74" s="314"/>
      <c r="I74" s="362" t="str">
        <f>IF('Sign-On'!B72="","",'Sign-On'!B72)</f>
        <v>Logan Anderson</v>
      </c>
      <c r="J74" s="362"/>
      <c r="K74" s="362"/>
      <c r="L74" s="362"/>
      <c r="M74" s="362"/>
      <c r="N74" s="362"/>
      <c r="O74" s="362"/>
      <c r="P74" s="362"/>
      <c r="Q74" s="362" t="str">
        <f>IF('Sign-On'!D72="","",'Sign-On'!D72)</f>
        <v>Moray Firth Cycling Club</v>
      </c>
      <c r="R74" s="362"/>
      <c r="S74" s="362"/>
      <c r="T74" s="362"/>
      <c r="U74" s="362"/>
      <c r="V74" s="362"/>
      <c r="W74" s="362"/>
      <c r="X74" s="362"/>
      <c r="Y74" s="314" t="str">
        <f>IF('Sign-On'!F72="","",'Sign-On'!F72)</f>
        <v>YM</v>
      </c>
      <c r="Z74" s="314"/>
      <c r="AA74" s="258"/>
      <c r="AB74" s="258"/>
      <c r="AC74" s="258"/>
      <c r="AD74" s="313" t="str">
        <f t="shared" si="3"/>
        <v/>
      </c>
      <c r="AE74" s="362"/>
      <c r="AF74" s="362"/>
      <c r="AG74" s="362"/>
      <c r="AH74" s="306"/>
      <c r="AI74" s="307"/>
      <c r="AJ74" s="316"/>
      <c r="AK74" s="316"/>
    </row>
    <row r="75" spans="1:37">
      <c r="A75" s="35" t="str">
        <f t="shared" si="0"/>
        <v/>
      </c>
      <c r="B75" s="65" t="str">
        <f t="shared" si="1"/>
        <v/>
      </c>
      <c r="C75" s="112"/>
      <c r="D75" s="315">
        <v>63</v>
      </c>
      <c r="E75" s="314"/>
      <c r="F75" s="314" t="str">
        <f>IF('Sign-On'!H73="","",'Sign-On'!H73)</f>
        <v>428942</v>
      </c>
      <c r="G75" s="314"/>
      <c r="H75" s="314"/>
      <c r="I75" s="362" t="str">
        <f>IF('Sign-On'!B73="","",'Sign-On'!B73)</f>
        <v>Alan McCaffrey</v>
      </c>
      <c r="J75" s="362"/>
      <c r="K75" s="362"/>
      <c r="L75" s="362"/>
      <c r="M75" s="362"/>
      <c r="N75" s="362"/>
      <c r="O75" s="362"/>
      <c r="P75" s="362"/>
      <c r="Q75" s="362" t="str">
        <f>IF('Sign-On'!D73="","",'Sign-On'!D73)</f>
        <v>Moray Firth Cycling Club</v>
      </c>
      <c r="R75" s="362"/>
      <c r="S75" s="362"/>
      <c r="T75" s="362"/>
      <c r="U75" s="362"/>
      <c r="V75" s="362"/>
      <c r="W75" s="362"/>
      <c r="X75" s="362"/>
      <c r="Y75" s="314" t="str">
        <f>IF('Sign-On'!F73="","",'Sign-On'!F73)</f>
        <v>V</v>
      </c>
      <c r="Z75" s="314"/>
      <c r="AA75" s="258"/>
      <c r="AB75" s="258"/>
      <c r="AC75" s="258"/>
      <c r="AD75" s="313" t="str">
        <f t="shared" si="3"/>
        <v/>
      </c>
      <c r="AE75" s="362"/>
      <c r="AF75" s="362"/>
      <c r="AG75" s="362"/>
      <c r="AH75" s="306"/>
      <c r="AI75" s="307"/>
      <c r="AJ75" s="316"/>
      <c r="AK75" s="316"/>
    </row>
    <row r="76" spans="1:37">
      <c r="A76" s="35" t="str">
        <f t="shared" si="0"/>
        <v/>
      </c>
      <c r="B76" s="65" t="str">
        <f t="shared" si="1"/>
        <v/>
      </c>
      <c r="C76" s="112"/>
      <c r="D76" s="315">
        <v>64</v>
      </c>
      <c r="E76" s="314"/>
      <c r="F76" s="314" t="str">
        <f>IF('Sign-On'!H74="","",'Sign-On'!H74)</f>
        <v>1053476</v>
      </c>
      <c r="G76" s="314"/>
      <c r="H76" s="314"/>
      <c r="I76" s="362" t="str">
        <f>IF('Sign-On'!B74="","",'Sign-On'!B74)</f>
        <v>Michael Maciver</v>
      </c>
      <c r="J76" s="362"/>
      <c r="K76" s="362"/>
      <c r="L76" s="362"/>
      <c r="M76" s="362"/>
      <c r="N76" s="362"/>
      <c r="O76" s="362"/>
      <c r="P76" s="362"/>
      <c r="Q76" s="362" t="str">
        <f>IF('Sign-On'!D74="","",'Sign-On'!D74)</f>
        <v>Ross-Shire RCC</v>
      </c>
      <c r="R76" s="362"/>
      <c r="S76" s="362"/>
      <c r="T76" s="362"/>
      <c r="U76" s="362"/>
      <c r="V76" s="362"/>
      <c r="W76" s="362"/>
      <c r="X76" s="362"/>
      <c r="Y76" s="314" t="str">
        <f>IF('Sign-On'!F74="","",'Sign-On'!F74)</f>
        <v>S</v>
      </c>
      <c r="Z76" s="314"/>
      <c r="AA76" s="258"/>
      <c r="AB76" s="258"/>
      <c r="AC76" s="258"/>
      <c r="AD76" s="313" t="str">
        <f t="shared" si="3"/>
        <v/>
      </c>
      <c r="AE76" s="362"/>
      <c r="AF76" s="362"/>
      <c r="AG76" s="362"/>
      <c r="AH76" s="306"/>
      <c r="AI76" s="307"/>
      <c r="AJ76" s="316"/>
      <c r="AK76" s="316"/>
    </row>
    <row r="77" spans="1:37">
      <c r="A77" s="35" t="str">
        <f t="shared" si="0"/>
        <v/>
      </c>
      <c r="B77" s="65" t="str">
        <f t="shared" si="1"/>
        <v/>
      </c>
      <c r="C77" s="112"/>
      <c r="D77" s="315">
        <v>65</v>
      </c>
      <c r="E77" s="314"/>
      <c r="F77" s="314" t="str">
        <f>IF('Sign-On'!H75="","",'Sign-On'!H75)</f>
        <v>1458410</v>
      </c>
      <c r="G77" s="314"/>
      <c r="H77" s="314"/>
      <c r="I77" s="362" t="str">
        <f>IF('Sign-On'!B75="","",'Sign-On'!B75)</f>
        <v>Matiss Robertson</v>
      </c>
      <c r="J77" s="362"/>
      <c r="K77" s="362"/>
      <c r="L77" s="362"/>
      <c r="M77" s="362"/>
      <c r="N77" s="362"/>
      <c r="O77" s="362"/>
      <c r="P77" s="362"/>
      <c r="Q77" s="362" t="str">
        <f>IF('Sign-On'!D75="","",'Sign-On'!D75)</f>
        <v>RT23</v>
      </c>
      <c r="R77" s="362"/>
      <c r="S77" s="362"/>
      <c r="T77" s="362"/>
      <c r="U77" s="362"/>
      <c r="V77" s="362"/>
      <c r="W77" s="362"/>
      <c r="X77" s="362"/>
      <c r="Y77" s="314" t="str">
        <f>IF('Sign-On'!F75="","",'Sign-On'!F75)</f>
        <v>S</v>
      </c>
      <c r="Z77" s="314"/>
      <c r="AA77" s="258"/>
      <c r="AB77" s="258"/>
      <c r="AC77" s="258"/>
      <c r="AD77" s="313" t="str">
        <f t="shared" si="3"/>
        <v/>
      </c>
      <c r="AE77" s="362"/>
      <c r="AF77" s="362"/>
      <c r="AG77" s="362"/>
      <c r="AH77" s="306"/>
      <c r="AI77" s="307"/>
      <c r="AJ77" s="316"/>
      <c r="AK77" s="316"/>
    </row>
    <row r="78" spans="1:37">
      <c r="A78" s="35" t="str">
        <f t="shared" ref="A78:A141" si="4">IF(ISERROR(RANK(B78,$B$13:$B$212,1)),"",RANK(B78,$B$13:$B$212,1))</f>
        <v/>
      </c>
      <c r="B78" s="65" t="str">
        <f t="shared" ref="B78:B141" si="5">IF(AD78="","",AD78 + 0.000000001 * ROW())</f>
        <v/>
      </c>
      <c r="C78" s="112"/>
      <c r="D78" s="315">
        <v>66</v>
      </c>
      <c r="E78" s="314"/>
      <c r="F78" s="314" t="str">
        <f>IF('Sign-On'!H76="","",'Sign-On'!H76)</f>
        <v>1346317</v>
      </c>
      <c r="G78" s="314"/>
      <c r="H78" s="314"/>
      <c r="I78" s="362" t="str">
        <f>IF('Sign-On'!B76="","",'Sign-On'!B76)</f>
        <v>Scott Davidson</v>
      </c>
      <c r="J78" s="362"/>
      <c r="K78" s="362"/>
      <c r="L78" s="362"/>
      <c r="M78" s="362"/>
      <c r="N78" s="362"/>
      <c r="O78" s="362"/>
      <c r="P78" s="362"/>
      <c r="Q78" s="362" t="str">
        <f>IF('Sign-On'!D76="","",'Sign-On'!D76)</f>
        <v>Moray Firth Cycling Club</v>
      </c>
      <c r="R78" s="362"/>
      <c r="S78" s="362"/>
      <c r="T78" s="362"/>
      <c r="U78" s="362"/>
      <c r="V78" s="362"/>
      <c r="W78" s="362"/>
      <c r="X78" s="362"/>
      <c r="Y78" s="314" t="str">
        <f>IF('Sign-On'!F76="","",'Sign-On'!F76)</f>
        <v>S</v>
      </c>
      <c r="Z78" s="314"/>
      <c r="AA78" s="258"/>
      <c r="AB78" s="258"/>
      <c r="AC78" s="258"/>
      <c r="AD78" s="313" t="str">
        <f t="shared" ref="AD78:AD141" si="6">IF(AB78="","",IF(OR(AB78&gt;59,AC78&gt;59),"ERROR",((AA78*3600)+(AB78*60)+AC78)/86400))</f>
        <v/>
      </c>
      <c r="AE78" s="362"/>
      <c r="AF78" s="362"/>
      <c r="AG78" s="362"/>
      <c r="AH78" s="306"/>
      <c r="AI78" s="307"/>
      <c r="AJ78" s="316"/>
      <c r="AK78" s="316"/>
    </row>
    <row r="79" spans="1:37">
      <c r="A79" s="35" t="str">
        <f t="shared" si="4"/>
        <v/>
      </c>
      <c r="B79" s="65" t="str">
        <f t="shared" si="5"/>
        <v/>
      </c>
      <c r="C79" s="112"/>
      <c r="D79" s="315">
        <v>67</v>
      </c>
      <c r="E79" s="314"/>
      <c r="F79" s="314" t="str">
        <f>IF('Sign-On'!H77="","",'Sign-On'!H77)</f>
        <v>1713297</v>
      </c>
      <c r="G79" s="314"/>
      <c r="H79" s="314"/>
      <c r="I79" s="362" t="str">
        <f>IF('Sign-On'!B77="","",'Sign-On'!B77)</f>
        <v>William Sutherland</v>
      </c>
      <c r="J79" s="362"/>
      <c r="K79" s="362"/>
      <c r="L79" s="362"/>
      <c r="M79" s="362"/>
      <c r="N79" s="362"/>
      <c r="O79" s="362"/>
      <c r="P79" s="362"/>
      <c r="Q79" s="362" t="str">
        <f>IF('Sign-On'!D77="","",'Sign-On'!D77)</f>
        <v>Ross-Shire RCC</v>
      </c>
      <c r="R79" s="362"/>
      <c r="S79" s="362"/>
      <c r="T79" s="362"/>
      <c r="U79" s="362"/>
      <c r="V79" s="362"/>
      <c r="W79" s="362"/>
      <c r="X79" s="362"/>
      <c r="Y79" s="314" t="str">
        <f>IF('Sign-On'!F77="","",'Sign-On'!F77)</f>
        <v>S</v>
      </c>
      <c r="Z79" s="314"/>
      <c r="AA79" s="258"/>
      <c r="AB79" s="258"/>
      <c r="AC79" s="258"/>
      <c r="AD79" s="313" t="str">
        <f t="shared" si="6"/>
        <v/>
      </c>
      <c r="AE79" s="362"/>
      <c r="AF79" s="362"/>
      <c r="AG79" s="362"/>
      <c r="AH79" s="306"/>
      <c r="AI79" s="307"/>
      <c r="AJ79" s="316"/>
      <c r="AK79" s="316"/>
    </row>
    <row r="80" spans="1:37">
      <c r="A80" s="35" t="str">
        <f t="shared" si="4"/>
        <v/>
      </c>
      <c r="B80" s="65" t="str">
        <f t="shared" si="5"/>
        <v/>
      </c>
      <c r="C80" s="112"/>
      <c r="D80" s="315">
        <v>68</v>
      </c>
      <c r="E80" s="314"/>
      <c r="F80" s="314" t="str">
        <f>IF('Sign-On'!H78="","",'Sign-On'!H78)</f>
        <v>968561</v>
      </c>
      <c r="G80" s="314"/>
      <c r="H80" s="314"/>
      <c r="I80" s="362" t="str">
        <f>IF('Sign-On'!B78="","",'Sign-On'!B78)</f>
        <v>Mark Dryburgh</v>
      </c>
      <c r="J80" s="362"/>
      <c r="K80" s="362"/>
      <c r="L80" s="362"/>
      <c r="M80" s="362"/>
      <c r="N80" s="362"/>
      <c r="O80" s="362"/>
      <c r="P80" s="362"/>
      <c r="Q80" s="362" t="str">
        <f>IF('Sign-On'!D78="","",'Sign-On'!D78)</f>
        <v>Ross-Shire RCC</v>
      </c>
      <c r="R80" s="362"/>
      <c r="S80" s="362"/>
      <c r="T80" s="362"/>
      <c r="U80" s="362"/>
      <c r="V80" s="362"/>
      <c r="W80" s="362"/>
      <c r="X80" s="362"/>
      <c r="Y80" s="314" t="str">
        <f>IF('Sign-On'!F78="","",'Sign-On'!F78)</f>
        <v>V</v>
      </c>
      <c r="Z80" s="314"/>
      <c r="AA80" s="258"/>
      <c r="AB80" s="258"/>
      <c r="AC80" s="258"/>
      <c r="AD80" s="313" t="str">
        <f t="shared" si="6"/>
        <v/>
      </c>
      <c r="AE80" s="362"/>
      <c r="AF80" s="362"/>
      <c r="AG80" s="362"/>
      <c r="AH80" s="306"/>
      <c r="AI80" s="307"/>
      <c r="AJ80" s="316"/>
      <c r="AK80" s="316"/>
    </row>
    <row r="81" spans="1:37">
      <c r="A81" s="35" t="str">
        <f t="shared" si="4"/>
        <v/>
      </c>
      <c r="B81" s="65" t="str">
        <f t="shared" si="5"/>
        <v/>
      </c>
      <c r="C81" s="112"/>
      <c r="D81" s="315">
        <v>69</v>
      </c>
      <c r="E81" s="314"/>
      <c r="F81" s="314" t="str">
        <f>IF('Sign-On'!H79="","",'Sign-On'!H79)</f>
        <v>1775168</v>
      </c>
      <c r="G81" s="314"/>
      <c r="H81" s="314"/>
      <c r="I81" s="362" t="str">
        <f>IF('Sign-On'!B79="","",'Sign-On'!B79)</f>
        <v>David Hutcheson</v>
      </c>
      <c r="J81" s="362"/>
      <c r="K81" s="362"/>
      <c r="L81" s="362"/>
      <c r="M81" s="362"/>
      <c r="N81" s="362"/>
      <c r="O81" s="362"/>
      <c r="P81" s="362"/>
      <c r="Q81" s="362" t="str">
        <f>IF('Sign-On'!D79="","",'Sign-On'!D79)</f>
        <v>RT23</v>
      </c>
      <c r="R81" s="362"/>
      <c r="S81" s="362"/>
      <c r="T81" s="362"/>
      <c r="U81" s="362"/>
      <c r="V81" s="362"/>
      <c r="W81" s="362"/>
      <c r="X81" s="362"/>
      <c r="Y81" s="314" t="str">
        <f>IF('Sign-On'!F79="","",'Sign-On'!F79)</f>
        <v>S</v>
      </c>
      <c r="Z81" s="314"/>
      <c r="AA81" s="258"/>
      <c r="AB81" s="258"/>
      <c r="AC81" s="258"/>
      <c r="AD81" s="313" t="str">
        <f t="shared" si="6"/>
        <v/>
      </c>
      <c r="AE81" s="362"/>
      <c r="AF81" s="362"/>
      <c r="AG81" s="362"/>
      <c r="AH81" s="306"/>
      <c r="AI81" s="307"/>
      <c r="AJ81" s="316"/>
      <c r="AK81" s="316"/>
    </row>
    <row r="82" spans="1:37">
      <c r="A82" s="35" t="str">
        <f t="shared" si="4"/>
        <v/>
      </c>
      <c r="B82" s="65" t="str">
        <f t="shared" si="5"/>
        <v/>
      </c>
      <c r="C82" s="112"/>
      <c r="D82" s="315">
        <v>70</v>
      </c>
      <c r="E82" s="314"/>
      <c r="F82" s="314" t="str">
        <f>IF('Sign-On'!H80="","",'Sign-On'!H80)</f>
        <v>1705834</v>
      </c>
      <c r="G82" s="314"/>
      <c r="H82" s="314"/>
      <c r="I82" s="362" t="str">
        <f>IF('Sign-On'!B80="","",'Sign-On'!B80)</f>
        <v>Christopher Little</v>
      </c>
      <c r="J82" s="362"/>
      <c r="K82" s="362"/>
      <c r="L82" s="362"/>
      <c r="M82" s="362"/>
      <c r="N82" s="362"/>
      <c r="O82" s="362"/>
      <c r="P82" s="362"/>
      <c r="Q82" s="362" t="str">
        <f>IF('Sign-On'!D80="","",'Sign-On'!D80)</f>
        <v>Studio Velo</v>
      </c>
      <c r="R82" s="362"/>
      <c r="S82" s="362"/>
      <c r="T82" s="362"/>
      <c r="U82" s="362"/>
      <c r="V82" s="362"/>
      <c r="W82" s="362"/>
      <c r="X82" s="362"/>
      <c r="Y82" s="314" t="str">
        <f>IF('Sign-On'!F80="","",'Sign-On'!F80)</f>
        <v>S</v>
      </c>
      <c r="Z82" s="314"/>
      <c r="AA82" s="258"/>
      <c r="AB82" s="258"/>
      <c r="AC82" s="258"/>
      <c r="AD82" s="313" t="str">
        <f t="shared" si="6"/>
        <v/>
      </c>
      <c r="AE82" s="362"/>
      <c r="AF82" s="362"/>
      <c r="AG82" s="362"/>
      <c r="AH82" s="306"/>
      <c r="AI82" s="307"/>
      <c r="AJ82" s="316"/>
      <c r="AK82" s="316"/>
    </row>
    <row r="83" spans="1:37">
      <c r="A83" s="35" t="str">
        <f t="shared" si="4"/>
        <v/>
      </c>
      <c r="B83" s="65" t="str">
        <f t="shared" si="5"/>
        <v/>
      </c>
      <c r="C83" s="112"/>
      <c r="D83" s="315">
        <v>71</v>
      </c>
      <c r="E83" s="314"/>
      <c r="F83" s="314" t="str">
        <f>IF('Sign-On'!H81="","",'Sign-On'!H81)</f>
        <v>1253030</v>
      </c>
      <c r="G83" s="314"/>
      <c r="H83" s="314"/>
      <c r="I83" s="362" t="str">
        <f>IF('Sign-On'!B81="","",'Sign-On'!B81)</f>
        <v>Kevin Smith</v>
      </c>
      <c r="J83" s="362"/>
      <c r="K83" s="362"/>
      <c r="L83" s="362"/>
      <c r="M83" s="362"/>
      <c r="N83" s="362"/>
      <c r="O83" s="362"/>
      <c r="P83" s="362"/>
      <c r="Q83" s="362" t="str">
        <f>IF('Sign-On'!D81="","",'Sign-On'!D81)</f>
        <v>Moray Firth Cycling Club</v>
      </c>
      <c r="R83" s="362"/>
      <c r="S83" s="362"/>
      <c r="T83" s="362"/>
      <c r="U83" s="362"/>
      <c r="V83" s="362"/>
      <c r="W83" s="362"/>
      <c r="X83" s="362"/>
      <c r="Y83" s="314" t="str">
        <f>IF('Sign-On'!F81="","",'Sign-On'!F81)</f>
        <v>V</v>
      </c>
      <c r="Z83" s="314"/>
      <c r="AA83" s="258"/>
      <c r="AB83" s="258"/>
      <c r="AC83" s="258"/>
      <c r="AD83" s="313" t="str">
        <f t="shared" si="6"/>
        <v/>
      </c>
      <c r="AE83" s="362"/>
      <c r="AF83" s="362"/>
      <c r="AG83" s="362"/>
      <c r="AH83" s="306"/>
      <c r="AI83" s="307"/>
      <c r="AJ83" s="316"/>
      <c r="AK83" s="316"/>
    </row>
    <row r="84" spans="1:37">
      <c r="A84" s="35" t="str">
        <f t="shared" si="4"/>
        <v/>
      </c>
      <c r="B84" s="65" t="str">
        <f t="shared" si="5"/>
        <v/>
      </c>
      <c r="C84" s="112"/>
      <c r="D84" s="315">
        <v>72</v>
      </c>
      <c r="E84" s="314"/>
      <c r="F84" s="314" t="str">
        <f>IF('Sign-On'!H82="","",'Sign-On'!H82)</f>
        <v>1175717</v>
      </c>
      <c r="G84" s="314"/>
      <c r="H84" s="314"/>
      <c r="I84" s="362" t="str">
        <f>IF('Sign-On'!B82="","",'Sign-On'!B82)</f>
        <v>Dean Cunningham</v>
      </c>
      <c r="J84" s="362"/>
      <c r="K84" s="362"/>
      <c r="L84" s="362"/>
      <c r="M84" s="362"/>
      <c r="N84" s="362"/>
      <c r="O84" s="362"/>
      <c r="P84" s="362"/>
      <c r="Q84" s="362" t="str">
        <f>IF('Sign-On'!D82="","",'Sign-On'!D82)</f>
        <v>Torvelo Racing</v>
      </c>
      <c r="R84" s="362"/>
      <c r="S84" s="362"/>
      <c r="T84" s="362"/>
      <c r="U84" s="362"/>
      <c r="V84" s="362"/>
      <c r="W84" s="362"/>
      <c r="X84" s="362"/>
      <c r="Y84" s="314" t="str">
        <f>IF('Sign-On'!F82="","",'Sign-On'!F82)</f>
        <v>S</v>
      </c>
      <c r="Z84" s="314"/>
      <c r="AA84" s="258"/>
      <c r="AB84" s="258"/>
      <c r="AC84" s="258"/>
      <c r="AD84" s="313" t="str">
        <f t="shared" si="6"/>
        <v/>
      </c>
      <c r="AE84" s="362"/>
      <c r="AF84" s="362"/>
      <c r="AG84" s="362"/>
      <c r="AH84" s="306"/>
      <c r="AI84" s="307"/>
      <c r="AJ84" s="316"/>
      <c r="AK84" s="316"/>
    </row>
    <row r="85" spans="1:37">
      <c r="A85" s="35" t="str">
        <f t="shared" si="4"/>
        <v/>
      </c>
      <c r="B85" s="65" t="str">
        <f t="shared" si="5"/>
        <v/>
      </c>
      <c r="C85" s="112"/>
      <c r="D85" s="315">
        <v>73</v>
      </c>
      <c r="E85" s="314"/>
      <c r="F85" s="314" t="str">
        <f>IF('Sign-On'!H83="","",'Sign-On'!H83)</f>
        <v>1826973</v>
      </c>
      <c r="G85" s="314"/>
      <c r="H85" s="314"/>
      <c r="I85" s="362" t="str">
        <f>IF('Sign-On'!B83="","",'Sign-On'!B83)</f>
        <v>Oliver Pemberton</v>
      </c>
      <c r="J85" s="362"/>
      <c r="K85" s="362"/>
      <c r="L85" s="362"/>
      <c r="M85" s="362"/>
      <c r="N85" s="362"/>
      <c r="O85" s="362"/>
      <c r="P85" s="362"/>
      <c r="Q85" s="362" t="str">
        <f>IF('Sign-On'!D83="","",'Sign-On'!D83)</f>
        <v>Vanelli-Project Go</v>
      </c>
      <c r="R85" s="362"/>
      <c r="S85" s="362"/>
      <c r="T85" s="362"/>
      <c r="U85" s="362"/>
      <c r="V85" s="362"/>
      <c r="W85" s="362"/>
      <c r="X85" s="362"/>
      <c r="Y85" s="314" t="str">
        <f>IF('Sign-On'!F83="","",'Sign-On'!F83)</f>
        <v>S</v>
      </c>
      <c r="Z85" s="314"/>
      <c r="AA85" s="258"/>
      <c r="AB85" s="258"/>
      <c r="AC85" s="258"/>
      <c r="AD85" s="313" t="str">
        <f t="shared" si="6"/>
        <v/>
      </c>
      <c r="AE85" s="362"/>
      <c r="AF85" s="362"/>
      <c r="AG85" s="362"/>
      <c r="AH85" s="306"/>
      <c r="AI85" s="307"/>
      <c r="AJ85" s="316"/>
      <c r="AK85" s="316"/>
    </row>
    <row r="86" spans="1:37">
      <c r="A86" s="35" t="str">
        <f t="shared" si="4"/>
        <v/>
      </c>
      <c r="B86" s="65" t="str">
        <f t="shared" si="5"/>
        <v/>
      </c>
      <c r="C86" s="112"/>
      <c r="D86" s="315">
        <v>74</v>
      </c>
      <c r="E86" s="314"/>
      <c r="F86" s="314" t="str">
        <f>IF('Sign-On'!H84="","",'Sign-On'!H84)</f>
        <v>202406</v>
      </c>
      <c r="G86" s="314"/>
      <c r="H86" s="314"/>
      <c r="I86" s="362" t="str">
        <f>IF('Sign-On'!B84="","",'Sign-On'!B84)</f>
        <v>Norman Skene</v>
      </c>
      <c r="J86" s="362"/>
      <c r="K86" s="362"/>
      <c r="L86" s="362"/>
      <c r="M86" s="362"/>
      <c r="N86" s="362"/>
      <c r="O86" s="362"/>
      <c r="P86" s="362"/>
      <c r="Q86" s="362" t="str">
        <f>IF('Sign-On'!D84="","",'Sign-On'!D84)</f>
        <v>Velocity 44 RT</v>
      </c>
      <c r="R86" s="362"/>
      <c r="S86" s="362"/>
      <c r="T86" s="362"/>
      <c r="U86" s="362"/>
      <c r="V86" s="362"/>
      <c r="W86" s="362"/>
      <c r="X86" s="362"/>
      <c r="Y86" s="314" t="str">
        <f>IF('Sign-On'!F84="","",'Sign-On'!F84)</f>
        <v>V</v>
      </c>
      <c r="Z86" s="314"/>
      <c r="AA86" s="258"/>
      <c r="AB86" s="258"/>
      <c r="AC86" s="258"/>
      <c r="AD86" s="313" t="str">
        <f t="shared" si="6"/>
        <v/>
      </c>
      <c r="AE86" s="362"/>
      <c r="AF86" s="362"/>
      <c r="AG86" s="362"/>
      <c r="AH86" s="306"/>
      <c r="AI86" s="307"/>
      <c r="AJ86" s="316"/>
      <c r="AK86" s="316"/>
    </row>
    <row r="87" spans="1:37">
      <c r="A87" s="35" t="str">
        <f t="shared" si="4"/>
        <v/>
      </c>
      <c r="B87" s="65" t="str">
        <f t="shared" si="5"/>
        <v/>
      </c>
      <c r="C87" s="112"/>
      <c r="D87" s="315">
        <v>75</v>
      </c>
      <c r="E87" s="314"/>
      <c r="F87" s="314" t="str">
        <f>IF('Sign-On'!H85="","",'Sign-On'!H85)</f>
        <v>1673941</v>
      </c>
      <c r="G87" s="314"/>
      <c r="H87" s="314"/>
      <c r="I87" s="362" t="str">
        <f>IF('Sign-On'!B85="","",'Sign-On'!B85)</f>
        <v>Graham Hollinger</v>
      </c>
      <c r="J87" s="362"/>
      <c r="K87" s="362"/>
      <c r="L87" s="362"/>
      <c r="M87" s="362"/>
      <c r="N87" s="362"/>
      <c r="O87" s="362"/>
      <c r="P87" s="362"/>
      <c r="Q87" s="362" t="str">
        <f>IF('Sign-On'!D85="","",'Sign-On'!D85)</f>
        <v>Torvelo Racing</v>
      </c>
      <c r="R87" s="362"/>
      <c r="S87" s="362"/>
      <c r="T87" s="362"/>
      <c r="U87" s="362"/>
      <c r="V87" s="362"/>
      <c r="W87" s="362"/>
      <c r="X87" s="362"/>
      <c r="Y87" s="314" t="str">
        <f>IF('Sign-On'!F85="","",'Sign-On'!F85)</f>
        <v>S</v>
      </c>
      <c r="Z87" s="314"/>
      <c r="AA87" s="258"/>
      <c r="AB87" s="258"/>
      <c r="AC87" s="258"/>
      <c r="AD87" s="313" t="str">
        <f t="shared" si="6"/>
        <v/>
      </c>
      <c r="AE87" s="362"/>
      <c r="AF87" s="362"/>
      <c r="AG87" s="362"/>
      <c r="AH87" s="306"/>
      <c r="AI87" s="307"/>
      <c r="AJ87" s="316"/>
      <c r="AK87" s="316"/>
    </row>
    <row r="88" spans="1:37">
      <c r="A88" s="35" t="str">
        <f t="shared" si="4"/>
        <v/>
      </c>
      <c r="B88" s="65" t="str">
        <f t="shared" si="5"/>
        <v/>
      </c>
      <c r="C88" s="112"/>
      <c r="D88" s="315">
        <v>76</v>
      </c>
      <c r="E88" s="314"/>
      <c r="F88" s="314" t="str">
        <f>IF('Sign-On'!H86="","",'Sign-On'!H86)</f>
        <v/>
      </c>
      <c r="G88" s="314"/>
      <c r="H88" s="314"/>
      <c r="I88" s="362" t="str">
        <f>IF('Sign-On'!B86="","",'Sign-On'!B86)</f>
        <v/>
      </c>
      <c r="J88" s="362"/>
      <c r="K88" s="362"/>
      <c r="L88" s="362"/>
      <c r="M88" s="362"/>
      <c r="N88" s="362"/>
      <c r="O88" s="362"/>
      <c r="P88" s="362"/>
      <c r="Q88" s="362" t="str">
        <f>IF('Sign-On'!D86="","",'Sign-On'!D86)</f>
        <v/>
      </c>
      <c r="R88" s="362"/>
      <c r="S88" s="362"/>
      <c r="T88" s="362"/>
      <c r="U88" s="362"/>
      <c r="V88" s="362"/>
      <c r="W88" s="362"/>
      <c r="X88" s="362"/>
      <c r="Y88" s="314" t="str">
        <f>IF('Sign-On'!F86="","",'Sign-On'!F86)</f>
        <v/>
      </c>
      <c r="Z88" s="314"/>
      <c r="AA88" s="258"/>
      <c r="AB88" s="258"/>
      <c r="AC88" s="258"/>
      <c r="AD88" s="313" t="str">
        <f t="shared" si="6"/>
        <v/>
      </c>
      <c r="AE88" s="362"/>
      <c r="AF88" s="362"/>
      <c r="AG88" s="362"/>
      <c r="AH88" s="306"/>
      <c r="AI88" s="307"/>
      <c r="AJ88" s="316"/>
      <c r="AK88" s="316"/>
    </row>
    <row r="89" spans="1:37">
      <c r="A89" s="35" t="str">
        <f t="shared" si="4"/>
        <v/>
      </c>
      <c r="B89" s="65" t="str">
        <f t="shared" si="5"/>
        <v/>
      </c>
      <c r="C89" s="112"/>
      <c r="D89" s="315">
        <v>77</v>
      </c>
      <c r="E89" s="314"/>
      <c r="F89" s="314" t="str">
        <f>IF('Sign-On'!H87="","",'Sign-On'!H87)</f>
        <v/>
      </c>
      <c r="G89" s="314"/>
      <c r="H89" s="314"/>
      <c r="I89" s="362" t="str">
        <f>IF('Sign-On'!B87="","",'Sign-On'!B87)</f>
        <v/>
      </c>
      <c r="J89" s="362"/>
      <c r="K89" s="362"/>
      <c r="L89" s="362"/>
      <c r="M89" s="362"/>
      <c r="N89" s="362"/>
      <c r="O89" s="362"/>
      <c r="P89" s="362"/>
      <c r="Q89" s="362" t="str">
        <f>IF('Sign-On'!D87="","",'Sign-On'!D87)</f>
        <v/>
      </c>
      <c r="R89" s="362"/>
      <c r="S89" s="362"/>
      <c r="T89" s="362"/>
      <c r="U89" s="362"/>
      <c r="V89" s="362"/>
      <c r="W89" s="362"/>
      <c r="X89" s="362"/>
      <c r="Y89" s="314" t="str">
        <f>IF('Sign-On'!F87="","",'Sign-On'!F87)</f>
        <v/>
      </c>
      <c r="Z89" s="314"/>
      <c r="AA89" s="258"/>
      <c r="AB89" s="258"/>
      <c r="AC89" s="258"/>
      <c r="AD89" s="313" t="str">
        <f t="shared" si="6"/>
        <v/>
      </c>
      <c r="AE89" s="362"/>
      <c r="AF89" s="362"/>
      <c r="AG89" s="362"/>
      <c r="AH89" s="306"/>
      <c r="AI89" s="307"/>
      <c r="AJ89" s="316"/>
      <c r="AK89" s="316"/>
    </row>
    <row r="90" spans="1:37">
      <c r="A90" s="35" t="str">
        <f t="shared" si="4"/>
        <v/>
      </c>
      <c r="B90" s="65" t="str">
        <f t="shared" si="5"/>
        <v/>
      </c>
      <c r="C90" s="112"/>
      <c r="D90" s="315">
        <v>78</v>
      </c>
      <c r="E90" s="314"/>
      <c r="F90" s="314" t="str">
        <f>IF('Sign-On'!H88="","",'Sign-On'!H88)</f>
        <v/>
      </c>
      <c r="G90" s="314"/>
      <c r="H90" s="314"/>
      <c r="I90" s="362" t="str">
        <f>IF('Sign-On'!B88="","",'Sign-On'!B88)</f>
        <v/>
      </c>
      <c r="J90" s="362"/>
      <c r="K90" s="362"/>
      <c r="L90" s="362"/>
      <c r="M90" s="362"/>
      <c r="N90" s="362"/>
      <c r="O90" s="362"/>
      <c r="P90" s="362"/>
      <c r="Q90" s="362" t="str">
        <f>IF('Sign-On'!D88="","",'Sign-On'!D88)</f>
        <v/>
      </c>
      <c r="R90" s="362"/>
      <c r="S90" s="362"/>
      <c r="T90" s="362"/>
      <c r="U90" s="362"/>
      <c r="V90" s="362"/>
      <c r="W90" s="362"/>
      <c r="X90" s="362"/>
      <c r="Y90" s="314" t="str">
        <f>IF('Sign-On'!F88="","",'Sign-On'!F88)</f>
        <v/>
      </c>
      <c r="Z90" s="314"/>
      <c r="AA90" s="258"/>
      <c r="AB90" s="258"/>
      <c r="AC90" s="258"/>
      <c r="AD90" s="313" t="str">
        <f t="shared" si="6"/>
        <v/>
      </c>
      <c r="AE90" s="362"/>
      <c r="AF90" s="362"/>
      <c r="AG90" s="362"/>
      <c r="AH90" s="306"/>
      <c r="AI90" s="307"/>
      <c r="AJ90" s="316"/>
      <c r="AK90" s="316"/>
    </row>
    <row r="91" spans="1:37">
      <c r="A91" s="35" t="str">
        <f t="shared" si="4"/>
        <v/>
      </c>
      <c r="B91" s="65" t="str">
        <f t="shared" si="5"/>
        <v/>
      </c>
      <c r="C91" s="112"/>
      <c r="D91" s="315">
        <v>79</v>
      </c>
      <c r="E91" s="314"/>
      <c r="F91" s="314" t="str">
        <f>IF('Sign-On'!H89="","",'Sign-On'!H89)</f>
        <v/>
      </c>
      <c r="G91" s="314"/>
      <c r="H91" s="314"/>
      <c r="I91" s="362" t="str">
        <f>IF('Sign-On'!B89="","",'Sign-On'!B89)</f>
        <v/>
      </c>
      <c r="J91" s="362"/>
      <c r="K91" s="362"/>
      <c r="L91" s="362"/>
      <c r="M91" s="362"/>
      <c r="N91" s="362"/>
      <c r="O91" s="362"/>
      <c r="P91" s="362"/>
      <c r="Q91" s="362" t="str">
        <f>IF('Sign-On'!D89="","",'Sign-On'!D89)</f>
        <v/>
      </c>
      <c r="R91" s="362"/>
      <c r="S91" s="362"/>
      <c r="T91" s="362"/>
      <c r="U91" s="362"/>
      <c r="V91" s="362"/>
      <c r="W91" s="362"/>
      <c r="X91" s="362"/>
      <c r="Y91" s="314" t="str">
        <f>IF('Sign-On'!F89="","",'Sign-On'!F89)</f>
        <v/>
      </c>
      <c r="Z91" s="314"/>
      <c r="AA91" s="258"/>
      <c r="AB91" s="258"/>
      <c r="AC91" s="258"/>
      <c r="AD91" s="313" t="str">
        <f t="shared" si="6"/>
        <v/>
      </c>
      <c r="AE91" s="362"/>
      <c r="AF91" s="362"/>
      <c r="AG91" s="362"/>
      <c r="AH91" s="306"/>
      <c r="AI91" s="307"/>
      <c r="AJ91" s="316"/>
      <c r="AK91" s="316"/>
    </row>
    <row r="92" spans="1:37">
      <c r="A92" s="35" t="str">
        <f t="shared" si="4"/>
        <v/>
      </c>
      <c r="B92" s="65" t="str">
        <f t="shared" si="5"/>
        <v/>
      </c>
      <c r="C92" s="112"/>
      <c r="D92" s="315">
        <v>80</v>
      </c>
      <c r="E92" s="314"/>
      <c r="F92" s="314" t="str">
        <f>IF('Sign-On'!H90="","",'Sign-On'!H90)</f>
        <v/>
      </c>
      <c r="G92" s="314"/>
      <c r="H92" s="314"/>
      <c r="I92" s="362" t="str">
        <f>IF('Sign-On'!B90="","",'Sign-On'!B90)</f>
        <v/>
      </c>
      <c r="J92" s="362"/>
      <c r="K92" s="362"/>
      <c r="L92" s="362"/>
      <c r="M92" s="362"/>
      <c r="N92" s="362"/>
      <c r="O92" s="362"/>
      <c r="P92" s="362"/>
      <c r="Q92" s="362" t="str">
        <f>IF('Sign-On'!D90="","",'Sign-On'!D90)</f>
        <v/>
      </c>
      <c r="R92" s="362"/>
      <c r="S92" s="362"/>
      <c r="T92" s="362"/>
      <c r="U92" s="362"/>
      <c r="V92" s="362"/>
      <c r="W92" s="362"/>
      <c r="X92" s="362"/>
      <c r="Y92" s="314" t="str">
        <f>IF('Sign-On'!F90="","",'Sign-On'!F90)</f>
        <v/>
      </c>
      <c r="Z92" s="314"/>
      <c r="AA92" s="258"/>
      <c r="AB92" s="258"/>
      <c r="AC92" s="258"/>
      <c r="AD92" s="313" t="str">
        <f t="shared" si="6"/>
        <v/>
      </c>
      <c r="AE92" s="362"/>
      <c r="AF92" s="362"/>
      <c r="AG92" s="362"/>
      <c r="AH92" s="306"/>
      <c r="AI92" s="307"/>
      <c r="AJ92" s="316"/>
      <c r="AK92" s="316"/>
    </row>
    <row r="93" spans="1:37">
      <c r="A93" s="35" t="str">
        <f t="shared" si="4"/>
        <v/>
      </c>
      <c r="B93" s="65" t="str">
        <f t="shared" si="5"/>
        <v/>
      </c>
      <c r="C93" s="112"/>
      <c r="D93" s="315">
        <v>81</v>
      </c>
      <c r="E93" s="314"/>
      <c r="F93" s="314" t="str">
        <f>IF('Sign-On'!H91="","",'Sign-On'!H91)</f>
        <v/>
      </c>
      <c r="G93" s="314"/>
      <c r="H93" s="314"/>
      <c r="I93" s="362" t="str">
        <f>IF('Sign-On'!B91="","",'Sign-On'!B91)</f>
        <v/>
      </c>
      <c r="J93" s="362"/>
      <c r="K93" s="362"/>
      <c r="L93" s="362"/>
      <c r="M93" s="362"/>
      <c r="N93" s="362"/>
      <c r="O93" s="362"/>
      <c r="P93" s="362"/>
      <c r="Q93" s="362" t="str">
        <f>IF('Sign-On'!D91="","",'Sign-On'!D91)</f>
        <v/>
      </c>
      <c r="R93" s="362"/>
      <c r="S93" s="362"/>
      <c r="T93" s="362"/>
      <c r="U93" s="362"/>
      <c r="V93" s="362"/>
      <c r="W93" s="362"/>
      <c r="X93" s="362"/>
      <c r="Y93" s="314" t="str">
        <f>IF('Sign-On'!F91="","",'Sign-On'!F91)</f>
        <v/>
      </c>
      <c r="Z93" s="314"/>
      <c r="AA93" s="258"/>
      <c r="AB93" s="258"/>
      <c r="AC93" s="258"/>
      <c r="AD93" s="313" t="str">
        <f t="shared" si="6"/>
        <v/>
      </c>
      <c r="AE93" s="362"/>
      <c r="AF93" s="362"/>
      <c r="AG93" s="362"/>
      <c r="AH93" s="306"/>
      <c r="AI93" s="307"/>
      <c r="AJ93" s="316"/>
      <c r="AK93" s="316"/>
    </row>
    <row r="94" spans="1:37">
      <c r="A94" s="35" t="str">
        <f t="shared" si="4"/>
        <v/>
      </c>
      <c r="B94" s="65" t="str">
        <f t="shared" si="5"/>
        <v/>
      </c>
      <c r="C94" s="112"/>
      <c r="D94" s="315">
        <v>82</v>
      </c>
      <c r="E94" s="314"/>
      <c r="F94" s="314" t="str">
        <f>IF('Sign-On'!H92="","",'Sign-On'!H92)</f>
        <v/>
      </c>
      <c r="G94" s="314"/>
      <c r="H94" s="314"/>
      <c r="I94" s="362" t="str">
        <f>IF('Sign-On'!B92="","",'Sign-On'!B92)</f>
        <v/>
      </c>
      <c r="J94" s="362"/>
      <c r="K94" s="362"/>
      <c r="L94" s="362"/>
      <c r="M94" s="362"/>
      <c r="N94" s="362"/>
      <c r="O94" s="362"/>
      <c r="P94" s="362"/>
      <c r="Q94" s="362" t="str">
        <f>IF('Sign-On'!D92="","",'Sign-On'!D92)</f>
        <v/>
      </c>
      <c r="R94" s="362"/>
      <c r="S94" s="362"/>
      <c r="T94" s="362"/>
      <c r="U94" s="362"/>
      <c r="V94" s="362"/>
      <c r="W94" s="362"/>
      <c r="X94" s="362"/>
      <c r="Y94" s="314" t="str">
        <f>IF('Sign-On'!F92="","",'Sign-On'!F92)</f>
        <v/>
      </c>
      <c r="Z94" s="314"/>
      <c r="AA94" s="258"/>
      <c r="AB94" s="258"/>
      <c r="AC94" s="258"/>
      <c r="AD94" s="313" t="str">
        <f t="shared" si="6"/>
        <v/>
      </c>
      <c r="AE94" s="362"/>
      <c r="AF94" s="362"/>
      <c r="AG94" s="362"/>
      <c r="AH94" s="306"/>
      <c r="AI94" s="307"/>
      <c r="AJ94" s="316"/>
      <c r="AK94" s="316"/>
    </row>
    <row r="95" spans="1:37">
      <c r="A95" s="35" t="str">
        <f t="shared" si="4"/>
        <v/>
      </c>
      <c r="B95" s="65" t="str">
        <f t="shared" si="5"/>
        <v/>
      </c>
      <c r="C95" s="112"/>
      <c r="D95" s="315">
        <v>83</v>
      </c>
      <c r="E95" s="314"/>
      <c r="F95" s="314" t="str">
        <f>IF('Sign-On'!H93="","",'Sign-On'!H93)</f>
        <v/>
      </c>
      <c r="G95" s="314"/>
      <c r="H95" s="314"/>
      <c r="I95" s="362" t="str">
        <f>IF('Sign-On'!B93="","",'Sign-On'!B93)</f>
        <v/>
      </c>
      <c r="J95" s="362"/>
      <c r="K95" s="362"/>
      <c r="L95" s="362"/>
      <c r="M95" s="362"/>
      <c r="N95" s="362"/>
      <c r="O95" s="362"/>
      <c r="P95" s="362"/>
      <c r="Q95" s="362" t="str">
        <f>IF('Sign-On'!D93="","",'Sign-On'!D93)</f>
        <v/>
      </c>
      <c r="R95" s="362"/>
      <c r="S95" s="362"/>
      <c r="T95" s="362"/>
      <c r="U95" s="362"/>
      <c r="V95" s="362"/>
      <c r="W95" s="362"/>
      <c r="X95" s="362"/>
      <c r="Y95" s="314" t="str">
        <f>IF('Sign-On'!F93="","",'Sign-On'!F93)</f>
        <v/>
      </c>
      <c r="Z95" s="314"/>
      <c r="AA95" s="258"/>
      <c r="AB95" s="258"/>
      <c r="AC95" s="258"/>
      <c r="AD95" s="313" t="str">
        <f t="shared" si="6"/>
        <v/>
      </c>
      <c r="AE95" s="362"/>
      <c r="AF95" s="362"/>
      <c r="AG95" s="362"/>
      <c r="AH95" s="306"/>
      <c r="AI95" s="307"/>
      <c r="AJ95" s="316"/>
      <c r="AK95" s="316"/>
    </row>
    <row r="96" spans="1:37">
      <c r="A96" s="35" t="str">
        <f t="shared" si="4"/>
        <v/>
      </c>
      <c r="B96" s="65" t="str">
        <f t="shared" si="5"/>
        <v/>
      </c>
      <c r="C96" s="112"/>
      <c r="D96" s="315">
        <v>84</v>
      </c>
      <c r="E96" s="314"/>
      <c r="F96" s="314" t="str">
        <f>IF('Sign-On'!H94="","",'Sign-On'!H94)</f>
        <v/>
      </c>
      <c r="G96" s="314"/>
      <c r="H96" s="314"/>
      <c r="I96" s="362" t="str">
        <f>IF('Sign-On'!B94="","",'Sign-On'!B94)</f>
        <v/>
      </c>
      <c r="J96" s="362"/>
      <c r="K96" s="362"/>
      <c r="L96" s="362"/>
      <c r="M96" s="362"/>
      <c r="N96" s="362"/>
      <c r="O96" s="362"/>
      <c r="P96" s="362"/>
      <c r="Q96" s="362" t="str">
        <f>IF('Sign-On'!D94="","",'Sign-On'!D94)</f>
        <v/>
      </c>
      <c r="R96" s="362"/>
      <c r="S96" s="362"/>
      <c r="T96" s="362"/>
      <c r="U96" s="362"/>
      <c r="V96" s="362"/>
      <c r="W96" s="362"/>
      <c r="X96" s="362"/>
      <c r="Y96" s="314" t="str">
        <f>IF('Sign-On'!F94="","",'Sign-On'!F94)</f>
        <v/>
      </c>
      <c r="Z96" s="314"/>
      <c r="AA96" s="258"/>
      <c r="AB96" s="258"/>
      <c r="AC96" s="258"/>
      <c r="AD96" s="313" t="str">
        <f t="shared" si="6"/>
        <v/>
      </c>
      <c r="AE96" s="362"/>
      <c r="AF96" s="362"/>
      <c r="AG96" s="362"/>
      <c r="AH96" s="306"/>
      <c r="AI96" s="307"/>
      <c r="AJ96" s="316"/>
      <c r="AK96" s="316"/>
    </row>
    <row r="97" spans="1:37">
      <c r="A97" s="35" t="str">
        <f t="shared" si="4"/>
        <v/>
      </c>
      <c r="B97" s="65" t="str">
        <f t="shared" si="5"/>
        <v/>
      </c>
      <c r="C97" s="112"/>
      <c r="D97" s="315">
        <v>85</v>
      </c>
      <c r="E97" s="314"/>
      <c r="F97" s="314" t="str">
        <f>IF('Sign-On'!H95="","",'Sign-On'!H95)</f>
        <v/>
      </c>
      <c r="G97" s="314"/>
      <c r="H97" s="314"/>
      <c r="I97" s="362" t="str">
        <f>IF('Sign-On'!B95="","",'Sign-On'!B95)</f>
        <v/>
      </c>
      <c r="J97" s="362"/>
      <c r="K97" s="362"/>
      <c r="L97" s="362"/>
      <c r="M97" s="362"/>
      <c r="N97" s="362"/>
      <c r="O97" s="362"/>
      <c r="P97" s="362"/>
      <c r="Q97" s="362" t="str">
        <f>IF('Sign-On'!D95="","",'Sign-On'!D95)</f>
        <v/>
      </c>
      <c r="R97" s="362"/>
      <c r="S97" s="362"/>
      <c r="T97" s="362"/>
      <c r="U97" s="362"/>
      <c r="V97" s="362"/>
      <c r="W97" s="362"/>
      <c r="X97" s="362"/>
      <c r="Y97" s="314" t="str">
        <f>IF('Sign-On'!F95="","",'Sign-On'!F95)</f>
        <v/>
      </c>
      <c r="Z97" s="314"/>
      <c r="AA97" s="258"/>
      <c r="AB97" s="258"/>
      <c r="AC97" s="258"/>
      <c r="AD97" s="313" t="str">
        <f t="shared" si="6"/>
        <v/>
      </c>
      <c r="AE97" s="362"/>
      <c r="AF97" s="362"/>
      <c r="AG97" s="362"/>
      <c r="AH97" s="306"/>
      <c r="AI97" s="307"/>
      <c r="AJ97" s="316"/>
      <c r="AK97" s="316"/>
    </row>
    <row r="98" spans="1:37">
      <c r="A98" s="35" t="str">
        <f t="shared" si="4"/>
        <v/>
      </c>
      <c r="B98" s="65" t="str">
        <f t="shared" si="5"/>
        <v/>
      </c>
      <c r="C98" s="112"/>
      <c r="D98" s="315">
        <v>86</v>
      </c>
      <c r="E98" s="314"/>
      <c r="F98" s="314" t="str">
        <f>IF('Sign-On'!H96="","",'Sign-On'!H96)</f>
        <v/>
      </c>
      <c r="G98" s="314"/>
      <c r="H98" s="314"/>
      <c r="I98" s="362" t="str">
        <f>IF('Sign-On'!B96="","",'Sign-On'!B96)</f>
        <v/>
      </c>
      <c r="J98" s="362"/>
      <c r="K98" s="362"/>
      <c r="L98" s="362"/>
      <c r="M98" s="362"/>
      <c r="N98" s="362"/>
      <c r="O98" s="362"/>
      <c r="P98" s="362"/>
      <c r="Q98" s="362" t="str">
        <f>IF('Sign-On'!D96="","",'Sign-On'!D96)</f>
        <v/>
      </c>
      <c r="R98" s="362"/>
      <c r="S98" s="362"/>
      <c r="T98" s="362"/>
      <c r="U98" s="362"/>
      <c r="V98" s="362"/>
      <c r="W98" s="362"/>
      <c r="X98" s="362"/>
      <c r="Y98" s="314" t="str">
        <f>IF('Sign-On'!F96="","",'Sign-On'!F96)</f>
        <v/>
      </c>
      <c r="Z98" s="314"/>
      <c r="AA98" s="258"/>
      <c r="AB98" s="258"/>
      <c r="AC98" s="258"/>
      <c r="AD98" s="313" t="str">
        <f t="shared" si="6"/>
        <v/>
      </c>
      <c r="AE98" s="362"/>
      <c r="AF98" s="362"/>
      <c r="AG98" s="362"/>
      <c r="AH98" s="306"/>
      <c r="AI98" s="307"/>
      <c r="AJ98" s="316"/>
      <c r="AK98" s="316"/>
    </row>
    <row r="99" spans="1:37">
      <c r="A99" s="35" t="str">
        <f t="shared" si="4"/>
        <v/>
      </c>
      <c r="B99" s="65" t="str">
        <f t="shared" si="5"/>
        <v/>
      </c>
      <c r="C99" s="112"/>
      <c r="D99" s="315">
        <v>87</v>
      </c>
      <c r="E99" s="314"/>
      <c r="F99" s="314" t="str">
        <f>IF('Sign-On'!H97="","",'Sign-On'!H97)</f>
        <v/>
      </c>
      <c r="G99" s="314"/>
      <c r="H99" s="314"/>
      <c r="I99" s="362" t="str">
        <f>IF('Sign-On'!B97="","",'Sign-On'!B97)</f>
        <v/>
      </c>
      <c r="J99" s="362"/>
      <c r="K99" s="362"/>
      <c r="L99" s="362"/>
      <c r="M99" s="362"/>
      <c r="N99" s="362"/>
      <c r="O99" s="362"/>
      <c r="P99" s="362"/>
      <c r="Q99" s="362" t="str">
        <f>IF('Sign-On'!D97="","",'Sign-On'!D97)</f>
        <v/>
      </c>
      <c r="R99" s="362"/>
      <c r="S99" s="362"/>
      <c r="T99" s="362"/>
      <c r="U99" s="362"/>
      <c r="V99" s="362"/>
      <c r="W99" s="362"/>
      <c r="X99" s="362"/>
      <c r="Y99" s="314" t="str">
        <f>IF('Sign-On'!F97="","",'Sign-On'!F97)</f>
        <v/>
      </c>
      <c r="Z99" s="314"/>
      <c r="AA99" s="258"/>
      <c r="AB99" s="258"/>
      <c r="AC99" s="258"/>
      <c r="AD99" s="313" t="str">
        <f t="shared" si="6"/>
        <v/>
      </c>
      <c r="AE99" s="362"/>
      <c r="AF99" s="362"/>
      <c r="AG99" s="362"/>
      <c r="AH99" s="306"/>
      <c r="AI99" s="307"/>
      <c r="AJ99" s="316"/>
      <c r="AK99" s="316"/>
    </row>
    <row r="100" spans="1:37">
      <c r="A100" s="35" t="str">
        <f t="shared" si="4"/>
        <v/>
      </c>
      <c r="B100" s="65" t="str">
        <f t="shared" si="5"/>
        <v/>
      </c>
      <c r="C100" s="112"/>
      <c r="D100" s="315">
        <v>88</v>
      </c>
      <c r="E100" s="314"/>
      <c r="F100" s="314" t="str">
        <f>IF('Sign-On'!H98="","",'Sign-On'!H98)</f>
        <v/>
      </c>
      <c r="G100" s="314"/>
      <c r="H100" s="314"/>
      <c r="I100" s="362" t="str">
        <f>IF('Sign-On'!B98="","",'Sign-On'!B98)</f>
        <v/>
      </c>
      <c r="J100" s="362"/>
      <c r="K100" s="362"/>
      <c r="L100" s="362"/>
      <c r="M100" s="362"/>
      <c r="N100" s="362"/>
      <c r="O100" s="362"/>
      <c r="P100" s="362"/>
      <c r="Q100" s="362" t="str">
        <f>IF('Sign-On'!D98="","",'Sign-On'!D98)</f>
        <v/>
      </c>
      <c r="R100" s="362"/>
      <c r="S100" s="362"/>
      <c r="T100" s="362"/>
      <c r="U100" s="362"/>
      <c r="V100" s="362"/>
      <c r="W100" s="362"/>
      <c r="X100" s="362"/>
      <c r="Y100" s="314" t="str">
        <f>IF('Sign-On'!F98="","",'Sign-On'!F98)</f>
        <v/>
      </c>
      <c r="Z100" s="314"/>
      <c r="AA100" s="258"/>
      <c r="AB100" s="258"/>
      <c r="AC100" s="258"/>
      <c r="AD100" s="313" t="str">
        <f t="shared" si="6"/>
        <v/>
      </c>
      <c r="AE100" s="362"/>
      <c r="AF100" s="362"/>
      <c r="AG100" s="362"/>
      <c r="AH100" s="306"/>
      <c r="AI100" s="307"/>
      <c r="AJ100" s="316"/>
      <c r="AK100" s="316"/>
    </row>
    <row r="101" spans="1:37">
      <c r="A101" s="35" t="str">
        <f t="shared" si="4"/>
        <v/>
      </c>
      <c r="B101" s="65" t="str">
        <f t="shared" si="5"/>
        <v/>
      </c>
      <c r="C101" s="112"/>
      <c r="D101" s="315">
        <v>89</v>
      </c>
      <c r="E101" s="314"/>
      <c r="F101" s="314" t="str">
        <f>IF('Sign-On'!H99="","",'Sign-On'!H99)</f>
        <v/>
      </c>
      <c r="G101" s="314"/>
      <c r="H101" s="314"/>
      <c r="I101" s="362" t="str">
        <f>IF('Sign-On'!B99="","",'Sign-On'!B99)</f>
        <v/>
      </c>
      <c r="J101" s="362"/>
      <c r="K101" s="362"/>
      <c r="L101" s="362"/>
      <c r="M101" s="362"/>
      <c r="N101" s="362"/>
      <c r="O101" s="362"/>
      <c r="P101" s="362"/>
      <c r="Q101" s="362" t="str">
        <f>IF('Sign-On'!D99="","",'Sign-On'!D99)</f>
        <v/>
      </c>
      <c r="R101" s="362"/>
      <c r="S101" s="362"/>
      <c r="T101" s="362"/>
      <c r="U101" s="362"/>
      <c r="V101" s="362"/>
      <c r="W101" s="362"/>
      <c r="X101" s="362"/>
      <c r="Y101" s="314" t="str">
        <f>IF('Sign-On'!F99="","",'Sign-On'!F99)</f>
        <v/>
      </c>
      <c r="Z101" s="314"/>
      <c r="AA101" s="258"/>
      <c r="AB101" s="258"/>
      <c r="AC101" s="258"/>
      <c r="AD101" s="313" t="str">
        <f t="shared" si="6"/>
        <v/>
      </c>
      <c r="AE101" s="362"/>
      <c r="AF101" s="362"/>
      <c r="AG101" s="362"/>
      <c r="AH101" s="306"/>
      <c r="AI101" s="307"/>
      <c r="AJ101" s="316"/>
      <c r="AK101" s="316"/>
    </row>
    <row r="102" spans="1:37">
      <c r="A102" s="35" t="str">
        <f t="shared" si="4"/>
        <v/>
      </c>
      <c r="B102" s="65" t="str">
        <f t="shared" si="5"/>
        <v/>
      </c>
      <c r="C102" s="112"/>
      <c r="D102" s="315">
        <v>90</v>
      </c>
      <c r="E102" s="314"/>
      <c r="F102" s="314" t="str">
        <f>IF('Sign-On'!H100="","",'Sign-On'!H100)</f>
        <v/>
      </c>
      <c r="G102" s="314"/>
      <c r="H102" s="314"/>
      <c r="I102" s="362" t="str">
        <f>IF('Sign-On'!B100="","",'Sign-On'!B100)</f>
        <v/>
      </c>
      <c r="J102" s="362"/>
      <c r="K102" s="362"/>
      <c r="L102" s="362"/>
      <c r="M102" s="362"/>
      <c r="N102" s="362"/>
      <c r="O102" s="362"/>
      <c r="P102" s="362"/>
      <c r="Q102" s="362" t="str">
        <f>IF('Sign-On'!D100="","",'Sign-On'!D100)</f>
        <v/>
      </c>
      <c r="R102" s="362"/>
      <c r="S102" s="362"/>
      <c r="T102" s="362"/>
      <c r="U102" s="362"/>
      <c r="V102" s="362"/>
      <c r="W102" s="362"/>
      <c r="X102" s="362"/>
      <c r="Y102" s="314" t="str">
        <f>IF('Sign-On'!F100="","",'Sign-On'!F100)</f>
        <v/>
      </c>
      <c r="Z102" s="314"/>
      <c r="AA102" s="258"/>
      <c r="AB102" s="258"/>
      <c r="AC102" s="258"/>
      <c r="AD102" s="313" t="str">
        <f t="shared" si="6"/>
        <v/>
      </c>
      <c r="AE102" s="362"/>
      <c r="AF102" s="362"/>
      <c r="AG102" s="362"/>
      <c r="AH102" s="306"/>
      <c r="AI102" s="307"/>
      <c r="AJ102" s="316"/>
      <c r="AK102" s="316"/>
    </row>
    <row r="103" spans="1:37">
      <c r="A103" s="35" t="str">
        <f t="shared" si="4"/>
        <v/>
      </c>
      <c r="B103" s="65" t="str">
        <f t="shared" si="5"/>
        <v/>
      </c>
      <c r="C103" s="112"/>
      <c r="D103" s="315">
        <v>91</v>
      </c>
      <c r="E103" s="314"/>
      <c r="F103" s="314" t="str">
        <f>IF('Sign-On'!H101="","",'Sign-On'!H101)</f>
        <v/>
      </c>
      <c r="G103" s="314"/>
      <c r="H103" s="314"/>
      <c r="I103" s="362" t="str">
        <f>IF('Sign-On'!B101="","",'Sign-On'!B101)</f>
        <v/>
      </c>
      <c r="J103" s="362"/>
      <c r="K103" s="362"/>
      <c r="L103" s="362"/>
      <c r="M103" s="362"/>
      <c r="N103" s="362"/>
      <c r="O103" s="362"/>
      <c r="P103" s="362"/>
      <c r="Q103" s="362" t="str">
        <f>IF('Sign-On'!D101="","",'Sign-On'!D101)</f>
        <v/>
      </c>
      <c r="R103" s="362"/>
      <c r="S103" s="362"/>
      <c r="T103" s="362"/>
      <c r="U103" s="362"/>
      <c r="V103" s="362"/>
      <c r="W103" s="362"/>
      <c r="X103" s="362"/>
      <c r="Y103" s="314" t="str">
        <f>IF('Sign-On'!F101="","",'Sign-On'!F101)</f>
        <v/>
      </c>
      <c r="Z103" s="314"/>
      <c r="AA103" s="258"/>
      <c r="AB103" s="258"/>
      <c r="AC103" s="258"/>
      <c r="AD103" s="313" t="str">
        <f t="shared" si="6"/>
        <v/>
      </c>
      <c r="AE103" s="362"/>
      <c r="AF103" s="362"/>
      <c r="AG103" s="362"/>
      <c r="AH103" s="306"/>
      <c r="AI103" s="307"/>
      <c r="AJ103" s="316"/>
      <c r="AK103" s="316"/>
    </row>
    <row r="104" spans="1:37">
      <c r="A104" s="35" t="str">
        <f t="shared" si="4"/>
        <v/>
      </c>
      <c r="B104" s="65" t="str">
        <f t="shared" si="5"/>
        <v/>
      </c>
      <c r="C104" s="112"/>
      <c r="D104" s="315">
        <v>92</v>
      </c>
      <c r="E104" s="314"/>
      <c r="F104" s="314" t="str">
        <f>IF('Sign-On'!H102="","",'Sign-On'!H102)</f>
        <v/>
      </c>
      <c r="G104" s="314"/>
      <c r="H104" s="314"/>
      <c r="I104" s="362" t="str">
        <f>IF('Sign-On'!B102="","",'Sign-On'!B102)</f>
        <v/>
      </c>
      <c r="J104" s="362"/>
      <c r="K104" s="362"/>
      <c r="L104" s="362"/>
      <c r="M104" s="362"/>
      <c r="N104" s="362"/>
      <c r="O104" s="362"/>
      <c r="P104" s="362"/>
      <c r="Q104" s="362" t="str">
        <f>IF('Sign-On'!D102="","",'Sign-On'!D102)</f>
        <v/>
      </c>
      <c r="R104" s="362"/>
      <c r="S104" s="362"/>
      <c r="T104" s="362"/>
      <c r="U104" s="362"/>
      <c r="V104" s="362"/>
      <c r="W104" s="362"/>
      <c r="X104" s="362"/>
      <c r="Y104" s="314" t="str">
        <f>IF('Sign-On'!F102="","",'Sign-On'!F102)</f>
        <v/>
      </c>
      <c r="Z104" s="314"/>
      <c r="AA104" s="258"/>
      <c r="AB104" s="258"/>
      <c r="AC104" s="258"/>
      <c r="AD104" s="313" t="str">
        <f t="shared" si="6"/>
        <v/>
      </c>
      <c r="AE104" s="362"/>
      <c r="AF104" s="362"/>
      <c r="AG104" s="362"/>
      <c r="AH104" s="306"/>
      <c r="AI104" s="307"/>
      <c r="AJ104" s="316"/>
      <c r="AK104" s="316"/>
    </row>
    <row r="105" spans="1:37">
      <c r="A105" s="35" t="str">
        <f t="shared" si="4"/>
        <v/>
      </c>
      <c r="B105" s="65" t="str">
        <f t="shared" si="5"/>
        <v/>
      </c>
      <c r="C105" s="112"/>
      <c r="D105" s="315">
        <v>93</v>
      </c>
      <c r="E105" s="314"/>
      <c r="F105" s="314" t="str">
        <f>IF('Sign-On'!H103="","",'Sign-On'!H103)</f>
        <v/>
      </c>
      <c r="G105" s="314"/>
      <c r="H105" s="314"/>
      <c r="I105" s="362" t="str">
        <f>IF('Sign-On'!B103="","",'Sign-On'!B103)</f>
        <v/>
      </c>
      <c r="J105" s="362"/>
      <c r="K105" s="362"/>
      <c r="L105" s="362"/>
      <c r="M105" s="362"/>
      <c r="N105" s="362"/>
      <c r="O105" s="362"/>
      <c r="P105" s="362"/>
      <c r="Q105" s="362" t="str">
        <f>IF('Sign-On'!D103="","",'Sign-On'!D103)</f>
        <v/>
      </c>
      <c r="R105" s="362"/>
      <c r="S105" s="362"/>
      <c r="T105" s="362"/>
      <c r="U105" s="362"/>
      <c r="V105" s="362"/>
      <c r="W105" s="362"/>
      <c r="X105" s="362"/>
      <c r="Y105" s="314" t="str">
        <f>IF('Sign-On'!F103="","",'Sign-On'!F103)</f>
        <v/>
      </c>
      <c r="Z105" s="314"/>
      <c r="AA105" s="258"/>
      <c r="AB105" s="258"/>
      <c r="AC105" s="258"/>
      <c r="AD105" s="313" t="str">
        <f t="shared" si="6"/>
        <v/>
      </c>
      <c r="AE105" s="362"/>
      <c r="AF105" s="362"/>
      <c r="AG105" s="362"/>
      <c r="AH105" s="306"/>
      <c r="AI105" s="307"/>
      <c r="AJ105" s="316"/>
      <c r="AK105" s="316"/>
    </row>
    <row r="106" spans="1:37">
      <c r="A106" s="35" t="str">
        <f t="shared" si="4"/>
        <v/>
      </c>
      <c r="B106" s="65" t="str">
        <f t="shared" si="5"/>
        <v/>
      </c>
      <c r="C106" s="112"/>
      <c r="D106" s="315">
        <v>94</v>
      </c>
      <c r="E106" s="314"/>
      <c r="F106" s="314" t="str">
        <f>IF('Sign-On'!H104="","",'Sign-On'!H104)</f>
        <v/>
      </c>
      <c r="G106" s="314"/>
      <c r="H106" s="314"/>
      <c r="I106" s="362" t="str">
        <f>IF('Sign-On'!B104="","",'Sign-On'!B104)</f>
        <v/>
      </c>
      <c r="J106" s="362"/>
      <c r="K106" s="362"/>
      <c r="L106" s="362"/>
      <c r="M106" s="362"/>
      <c r="N106" s="362"/>
      <c r="O106" s="362"/>
      <c r="P106" s="362"/>
      <c r="Q106" s="362" t="str">
        <f>IF('Sign-On'!D104="","",'Sign-On'!D104)</f>
        <v/>
      </c>
      <c r="R106" s="362"/>
      <c r="S106" s="362"/>
      <c r="T106" s="362"/>
      <c r="U106" s="362"/>
      <c r="V106" s="362"/>
      <c r="W106" s="362"/>
      <c r="X106" s="362"/>
      <c r="Y106" s="314" t="str">
        <f>IF('Sign-On'!F104="","",'Sign-On'!F104)</f>
        <v/>
      </c>
      <c r="Z106" s="314"/>
      <c r="AA106" s="258"/>
      <c r="AB106" s="258"/>
      <c r="AC106" s="258"/>
      <c r="AD106" s="313" t="str">
        <f t="shared" si="6"/>
        <v/>
      </c>
      <c r="AE106" s="362"/>
      <c r="AF106" s="362"/>
      <c r="AG106" s="362"/>
      <c r="AH106" s="306"/>
      <c r="AI106" s="307"/>
      <c r="AJ106" s="316"/>
      <c r="AK106" s="316"/>
    </row>
    <row r="107" spans="1:37">
      <c r="A107" s="35" t="str">
        <f t="shared" si="4"/>
        <v/>
      </c>
      <c r="B107" s="65" t="str">
        <f t="shared" si="5"/>
        <v/>
      </c>
      <c r="C107" s="112"/>
      <c r="D107" s="315">
        <v>95</v>
      </c>
      <c r="E107" s="314"/>
      <c r="F107" s="314" t="str">
        <f>IF('Sign-On'!H105="","",'Sign-On'!H105)</f>
        <v/>
      </c>
      <c r="G107" s="314"/>
      <c r="H107" s="314"/>
      <c r="I107" s="362" t="str">
        <f>IF('Sign-On'!B105="","",'Sign-On'!B105)</f>
        <v/>
      </c>
      <c r="J107" s="362"/>
      <c r="K107" s="362"/>
      <c r="L107" s="362"/>
      <c r="M107" s="362"/>
      <c r="N107" s="362"/>
      <c r="O107" s="362"/>
      <c r="P107" s="362"/>
      <c r="Q107" s="362" t="str">
        <f>IF('Sign-On'!D105="","",'Sign-On'!D105)</f>
        <v/>
      </c>
      <c r="R107" s="362"/>
      <c r="S107" s="362"/>
      <c r="T107" s="362"/>
      <c r="U107" s="362"/>
      <c r="V107" s="362"/>
      <c r="W107" s="362"/>
      <c r="X107" s="362"/>
      <c r="Y107" s="314" t="str">
        <f>IF('Sign-On'!F105="","",'Sign-On'!F105)</f>
        <v/>
      </c>
      <c r="Z107" s="314"/>
      <c r="AA107" s="258"/>
      <c r="AB107" s="258"/>
      <c r="AC107" s="258"/>
      <c r="AD107" s="313" t="str">
        <f t="shared" si="6"/>
        <v/>
      </c>
      <c r="AE107" s="362"/>
      <c r="AF107" s="362"/>
      <c r="AG107" s="362"/>
      <c r="AH107" s="306"/>
      <c r="AI107" s="307"/>
      <c r="AJ107" s="316"/>
      <c r="AK107" s="316"/>
    </row>
    <row r="108" spans="1:37">
      <c r="A108" s="35" t="str">
        <f t="shared" si="4"/>
        <v/>
      </c>
      <c r="B108" s="65" t="str">
        <f t="shared" si="5"/>
        <v/>
      </c>
      <c r="C108" s="112"/>
      <c r="D108" s="315">
        <v>96</v>
      </c>
      <c r="E108" s="314"/>
      <c r="F108" s="314" t="str">
        <f>IF('Sign-On'!H106="","",'Sign-On'!H106)</f>
        <v/>
      </c>
      <c r="G108" s="314"/>
      <c r="H108" s="314"/>
      <c r="I108" s="362" t="str">
        <f>IF('Sign-On'!B106="","",'Sign-On'!B106)</f>
        <v/>
      </c>
      <c r="J108" s="362"/>
      <c r="K108" s="362"/>
      <c r="L108" s="362"/>
      <c r="M108" s="362"/>
      <c r="N108" s="362"/>
      <c r="O108" s="362"/>
      <c r="P108" s="362"/>
      <c r="Q108" s="362" t="str">
        <f>IF('Sign-On'!D106="","",'Sign-On'!D106)</f>
        <v/>
      </c>
      <c r="R108" s="362"/>
      <c r="S108" s="362"/>
      <c r="T108" s="362"/>
      <c r="U108" s="362"/>
      <c r="V108" s="362"/>
      <c r="W108" s="362"/>
      <c r="X108" s="362"/>
      <c r="Y108" s="314" t="str">
        <f>IF('Sign-On'!F106="","",'Sign-On'!F106)</f>
        <v/>
      </c>
      <c r="Z108" s="314"/>
      <c r="AA108" s="258"/>
      <c r="AB108" s="258"/>
      <c r="AC108" s="258"/>
      <c r="AD108" s="313" t="str">
        <f t="shared" si="6"/>
        <v/>
      </c>
      <c r="AE108" s="362"/>
      <c r="AF108" s="362"/>
      <c r="AG108" s="362"/>
      <c r="AH108" s="306"/>
      <c r="AI108" s="307"/>
      <c r="AJ108" s="316"/>
      <c r="AK108" s="316"/>
    </row>
    <row r="109" spans="1:37">
      <c r="A109" s="35" t="str">
        <f t="shared" si="4"/>
        <v/>
      </c>
      <c r="B109" s="65" t="str">
        <f t="shared" si="5"/>
        <v/>
      </c>
      <c r="C109" s="112"/>
      <c r="D109" s="315">
        <v>97</v>
      </c>
      <c r="E109" s="314"/>
      <c r="F109" s="314" t="str">
        <f>IF('Sign-On'!H107="","",'Sign-On'!H107)</f>
        <v/>
      </c>
      <c r="G109" s="314"/>
      <c r="H109" s="314"/>
      <c r="I109" s="362" t="str">
        <f>IF('Sign-On'!B107="","",'Sign-On'!B107)</f>
        <v/>
      </c>
      <c r="J109" s="362"/>
      <c r="K109" s="362"/>
      <c r="L109" s="362"/>
      <c r="M109" s="362"/>
      <c r="N109" s="362"/>
      <c r="O109" s="362"/>
      <c r="P109" s="362"/>
      <c r="Q109" s="362" t="str">
        <f>IF('Sign-On'!D107="","",'Sign-On'!D107)</f>
        <v/>
      </c>
      <c r="R109" s="362"/>
      <c r="S109" s="362"/>
      <c r="T109" s="362"/>
      <c r="U109" s="362"/>
      <c r="V109" s="362"/>
      <c r="W109" s="362"/>
      <c r="X109" s="362"/>
      <c r="Y109" s="314" t="str">
        <f>IF('Sign-On'!F107="","",'Sign-On'!F107)</f>
        <v/>
      </c>
      <c r="Z109" s="314"/>
      <c r="AA109" s="258"/>
      <c r="AB109" s="258"/>
      <c r="AC109" s="258"/>
      <c r="AD109" s="313" t="str">
        <f t="shared" si="6"/>
        <v/>
      </c>
      <c r="AE109" s="362"/>
      <c r="AF109" s="362"/>
      <c r="AG109" s="362"/>
      <c r="AH109" s="306"/>
      <c r="AI109" s="307"/>
      <c r="AJ109" s="316"/>
      <c r="AK109" s="316"/>
    </row>
    <row r="110" spans="1:37">
      <c r="A110" s="35" t="str">
        <f t="shared" si="4"/>
        <v/>
      </c>
      <c r="B110" s="65" t="str">
        <f t="shared" si="5"/>
        <v/>
      </c>
      <c r="C110" s="112"/>
      <c r="D110" s="315">
        <v>98</v>
      </c>
      <c r="E110" s="314"/>
      <c r="F110" s="314" t="str">
        <f>IF('Sign-On'!H108="","",'Sign-On'!H108)</f>
        <v/>
      </c>
      <c r="G110" s="314"/>
      <c r="H110" s="314"/>
      <c r="I110" s="362" t="str">
        <f>IF('Sign-On'!B108="","",'Sign-On'!B108)</f>
        <v/>
      </c>
      <c r="J110" s="362"/>
      <c r="K110" s="362"/>
      <c r="L110" s="362"/>
      <c r="M110" s="362"/>
      <c r="N110" s="362"/>
      <c r="O110" s="362"/>
      <c r="P110" s="362"/>
      <c r="Q110" s="362" t="str">
        <f>IF('Sign-On'!D108="","",'Sign-On'!D108)</f>
        <v/>
      </c>
      <c r="R110" s="362"/>
      <c r="S110" s="362"/>
      <c r="T110" s="362"/>
      <c r="U110" s="362"/>
      <c r="V110" s="362"/>
      <c r="W110" s="362"/>
      <c r="X110" s="362"/>
      <c r="Y110" s="314" t="str">
        <f>IF('Sign-On'!F108="","",'Sign-On'!F108)</f>
        <v/>
      </c>
      <c r="Z110" s="314"/>
      <c r="AA110" s="258"/>
      <c r="AB110" s="258"/>
      <c r="AC110" s="258"/>
      <c r="AD110" s="313" t="str">
        <f t="shared" si="6"/>
        <v/>
      </c>
      <c r="AE110" s="362"/>
      <c r="AF110" s="362"/>
      <c r="AG110" s="362"/>
      <c r="AH110" s="306"/>
      <c r="AI110" s="307"/>
      <c r="AJ110" s="316"/>
      <c r="AK110" s="316"/>
    </row>
    <row r="111" spans="1:37">
      <c r="A111" s="35" t="str">
        <f t="shared" si="4"/>
        <v/>
      </c>
      <c r="B111" s="65" t="str">
        <f t="shared" si="5"/>
        <v/>
      </c>
      <c r="C111" s="112"/>
      <c r="D111" s="315">
        <v>99</v>
      </c>
      <c r="E111" s="314"/>
      <c r="F111" s="314" t="str">
        <f>IF('Sign-On'!H109="","",'Sign-On'!H109)</f>
        <v/>
      </c>
      <c r="G111" s="314"/>
      <c r="H111" s="314"/>
      <c r="I111" s="362" t="str">
        <f>IF('Sign-On'!B109="","",'Sign-On'!B109)</f>
        <v/>
      </c>
      <c r="J111" s="362"/>
      <c r="K111" s="362"/>
      <c r="L111" s="362"/>
      <c r="M111" s="362"/>
      <c r="N111" s="362"/>
      <c r="O111" s="362"/>
      <c r="P111" s="362"/>
      <c r="Q111" s="362" t="str">
        <f>IF('Sign-On'!D109="","",'Sign-On'!D109)</f>
        <v/>
      </c>
      <c r="R111" s="362"/>
      <c r="S111" s="362"/>
      <c r="T111" s="362"/>
      <c r="U111" s="362"/>
      <c r="V111" s="362"/>
      <c r="W111" s="362"/>
      <c r="X111" s="362"/>
      <c r="Y111" s="314" t="str">
        <f>IF('Sign-On'!F109="","",'Sign-On'!F109)</f>
        <v/>
      </c>
      <c r="Z111" s="314"/>
      <c r="AA111" s="258"/>
      <c r="AB111" s="258"/>
      <c r="AC111" s="258"/>
      <c r="AD111" s="313" t="str">
        <f t="shared" si="6"/>
        <v/>
      </c>
      <c r="AE111" s="362"/>
      <c r="AF111" s="362"/>
      <c r="AG111" s="362"/>
      <c r="AH111" s="306"/>
      <c r="AI111" s="307"/>
      <c r="AJ111" s="316"/>
      <c r="AK111" s="316"/>
    </row>
    <row r="112" spans="1:37">
      <c r="A112" s="35" t="str">
        <f t="shared" si="4"/>
        <v/>
      </c>
      <c r="B112" s="65" t="str">
        <f t="shared" si="5"/>
        <v/>
      </c>
      <c r="C112" s="112"/>
      <c r="D112" s="315">
        <v>100</v>
      </c>
      <c r="E112" s="314"/>
      <c r="F112" s="314" t="str">
        <f>IF('Sign-On'!H110="","",'Sign-On'!H110)</f>
        <v/>
      </c>
      <c r="G112" s="314"/>
      <c r="H112" s="314"/>
      <c r="I112" s="362" t="str">
        <f>IF('Sign-On'!B110="","",'Sign-On'!B110)</f>
        <v/>
      </c>
      <c r="J112" s="362"/>
      <c r="K112" s="362"/>
      <c r="L112" s="362"/>
      <c r="M112" s="362"/>
      <c r="N112" s="362"/>
      <c r="O112" s="362"/>
      <c r="P112" s="362"/>
      <c r="Q112" s="362" t="str">
        <f>IF('Sign-On'!D110="","",'Sign-On'!D110)</f>
        <v/>
      </c>
      <c r="R112" s="362"/>
      <c r="S112" s="362"/>
      <c r="T112" s="362"/>
      <c r="U112" s="362"/>
      <c r="V112" s="362"/>
      <c r="W112" s="362"/>
      <c r="X112" s="362"/>
      <c r="Y112" s="314" t="str">
        <f>IF('Sign-On'!F110="","",'Sign-On'!F110)</f>
        <v/>
      </c>
      <c r="Z112" s="314"/>
      <c r="AA112" s="258"/>
      <c r="AB112" s="258"/>
      <c r="AC112" s="258"/>
      <c r="AD112" s="313" t="str">
        <f t="shared" si="6"/>
        <v/>
      </c>
      <c r="AE112" s="362"/>
      <c r="AF112" s="362"/>
      <c r="AG112" s="362"/>
      <c r="AH112" s="306"/>
      <c r="AI112" s="307"/>
      <c r="AJ112" s="316"/>
      <c r="AK112" s="316"/>
    </row>
    <row r="113" spans="1:37">
      <c r="A113" s="35" t="str">
        <f t="shared" si="4"/>
        <v/>
      </c>
      <c r="B113" s="65" t="str">
        <f t="shared" si="5"/>
        <v/>
      </c>
      <c r="C113" s="112"/>
      <c r="D113" s="315">
        <v>101</v>
      </c>
      <c r="E113" s="314"/>
      <c r="F113" s="314" t="str">
        <f>IF('Sign-On'!H111="","",'Sign-On'!H111)</f>
        <v/>
      </c>
      <c r="G113" s="314"/>
      <c r="H113" s="314"/>
      <c r="I113" s="362" t="str">
        <f>IF('Sign-On'!B111="","",'Sign-On'!B111)</f>
        <v/>
      </c>
      <c r="J113" s="362"/>
      <c r="K113" s="362"/>
      <c r="L113" s="362"/>
      <c r="M113" s="362"/>
      <c r="N113" s="362"/>
      <c r="O113" s="362"/>
      <c r="P113" s="362"/>
      <c r="Q113" s="362" t="str">
        <f>IF('Sign-On'!D111="","",'Sign-On'!D111)</f>
        <v/>
      </c>
      <c r="R113" s="362"/>
      <c r="S113" s="362"/>
      <c r="T113" s="362"/>
      <c r="U113" s="362"/>
      <c r="V113" s="362"/>
      <c r="W113" s="362"/>
      <c r="X113" s="362"/>
      <c r="Y113" s="314" t="str">
        <f>IF('Sign-On'!F111="","",'Sign-On'!F111)</f>
        <v/>
      </c>
      <c r="Z113" s="314"/>
      <c r="AA113" s="258"/>
      <c r="AB113" s="258"/>
      <c r="AC113" s="258"/>
      <c r="AD113" s="313" t="str">
        <f t="shared" si="6"/>
        <v/>
      </c>
      <c r="AE113" s="362"/>
      <c r="AF113" s="362"/>
      <c r="AG113" s="362"/>
      <c r="AH113" s="306"/>
      <c r="AI113" s="307"/>
      <c r="AJ113" s="316"/>
      <c r="AK113" s="316"/>
    </row>
    <row r="114" spans="1:37">
      <c r="A114" s="35" t="str">
        <f t="shared" si="4"/>
        <v/>
      </c>
      <c r="B114" s="65" t="str">
        <f t="shared" si="5"/>
        <v/>
      </c>
      <c r="C114" s="112"/>
      <c r="D114" s="315">
        <v>102</v>
      </c>
      <c r="E114" s="314"/>
      <c r="F114" s="314" t="str">
        <f>IF('Sign-On'!H112="","",'Sign-On'!H112)</f>
        <v/>
      </c>
      <c r="G114" s="314"/>
      <c r="H114" s="314"/>
      <c r="I114" s="362" t="str">
        <f>IF('Sign-On'!B112="","",'Sign-On'!B112)</f>
        <v/>
      </c>
      <c r="J114" s="362"/>
      <c r="K114" s="362"/>
      <c r="L114" s="362"/>
      <c r="M114" s="362"/>
      <c r="N114" s="362"/>
      <c r="O114" s="362"/>
      <c r="P114" s="362"/>
      <c r="Q114" s="362" t="str">
        <f>IF('Sign-On'!D112="","",'Sign-On'!D112)</f>
        <v/>
      </c>
      <c r="R114" s="362"/>
      <c r="S114" s="362"/>
      <c r="T114" s="362"/>
      <c r="U114" s="362"/>
      <c r="V114" s="362"/>
      <c r="W114" s="362"/>
      <c r="X114" s="362"/>
      <c r="Y114" s="314" t="str">
        <f>IF('Sign-On'!F112="","",'Sign-On'!F112)</f>
        <v/>
      </c>
      <c r="Z114" s="314"/>
      <c r="AA114" s="258"/>
      <c r="AB114" s="258"/>
      <c r="AC114" s="258"/>
      <c r="AD114" s="313" t="str">
        <f t="shared" si="6"/>
        <v/>
      </c>
      <c r="AE114" s="362"/>
      <c r="AF114" s="362"/>
      <c r="AG114" s="362"/>
      <c r="AH114" s="306"/>
      <c r="AI114" s="307"/>
      <c r="AJ114" s="316"/>
      <c r="AK114" s="316"/>
    </row>
    <row r="115" spans="1:37">
      <c r="A115" s="35" t="str">
        <f t="shared" si="4"/>
        <v/>
      </c>
      <c r="B115" s="65" t="str">
        <f t="shared" si="5"/>
        <v/>
      </c>
      <c r="C115" s="112"/>
      <c r="D115" s="315">
        <v>103</v>
      </c>
      <c r="E115" s="314"/>
      <c r="F115" s="314" t="str">
        <f>IF('Sign-On'!H113="","",'Sign-On'!H113)</f>
        <v/>
      </c>
      <c r="G115" s="314"/>
      <c r="H115" s="314"/>
      <c r="I115" s="362" t="str">
        <f>IF('Sign-On'!B113="","",'Sign-On'!B113)</f>
        <v/>
      </c>
      <c r="J115" s="362"/>
      <c r="K115" s="362"/>
      <c r="L115" s="362"/>
      <c r="M115" s="362"/>
      <c r="N115" s="362"/>
      <c r="O115" s="362"/>
      <c r="P115" s="362"/>
      <c r="Q115" s="362" t="str">
        <f>IF('Sign-On'!D113="","",'Sign-On'!D113)</f>
        <v/>
      </c>
      <c r="R115" s="362"/>
      <c r="S115" s="362"/>
      <c r="T115" s="362"/>
      <c r="U115" s="362"/>
      <c r="V115" s="362"/>
      <c r="W115" s="362"/>
      <c r="X115" s="362"/>
      <c r="Y115" s="314" t="str">
        <f>IF('Sign-On'!F113="","",'Sign-On'!F113)</f>
        <v/>
      </c>
      <c r="Z115" s="314"/>
      <c r="AA115" s="258"/>
      <c r="AB115" s="258"/>
      <c r="AC115" s="258"/>
      <c r="AD115" s="313" t="str">
        <f t="shared" si="6"/>
        <v/>
      </c>
      <c r="AE115" s="362"/>
      <c r="AF115" s="362"/>
      <c r="AG115" s="362"/>
      <c r="AH115" s="306"/>
      <c r="AI115" s="307"/>
      <c r="AJ115" s="316"/>
      <c r="AK115" s="316"/>
    </row>
    <row r="116" spans="1:37">
      <c r="A116" s="35" t="str">
        <f t="shared" si="4"/>
        <v/>
      </c>
      <c r="B116" s="65" t="str">
        <f t="shared" si="5"/>
        <v/>
      </c>
      <c r="C116" s="112"/>
      <c r="D116" s="315">
        <v>104</v>
      </c>
      <c r="E116" s="314"/>
      <c r="F116" s="314" t="str">
        <f>IF('Sign-On'!H114="","",'Sign-On'!H114)</f>
        <v/>
      </c>
      <c r="G116" s="314"/>
      <c r="H116" s="314"/>
      <c r="I116" s="362" t="str">
        <f>IF('Sign-On'!B114="","",'Sign-On'!B114)</f>
        <v/>
      </c>
      <c r="J116" s="362"/>
      <c r="K116" s="362"/>
      <c r="L116" s="362"/>
      <c r="M116" s="362"/>
      <c r="N116" s="362"/>
      <c r="O116" s="362"/>
      <c r="P116" s="362"/>
      <c r="Q116" s="362" t="str">
        <f>IF('Sign-On'!D114="","",'Sign-On'!D114)</f>
        <v/>
      </c>
      <c r="R116" s="362"/>
      <c r="S116" s="362"/>
      <c r="T116" s="362"/>
      <c r="U116" s="362"/>
      <c r="V116" s="362"/>
      <c r="W116" s="362"/>
      <c r="X116" s="362"/>
      <c r="Y116" s="314" t="str">
        <f>IF('Sign-On'!F114="","",'Sign-On'!F114)</f>
        <v/>
      </c>
      <c r="Z116" s="314"/>
      <c r="AA116" s="258"/>
      <c r="AB116" s="258"/>
      <c r="AC116" s="258"/>
      <c r="AD116" s="313" t="str">
        <f t="shared" si="6"/>
        <v/>
      </c>
      <c r="AE116" s="362"/>
      <c r="AF116" s="362"/>
      <c r="AG116" s="362"/>
      <c r="AH116" s="306"/>
      <c r="AI116" s="307"/>
      <c r="AJ116" s="316"/>
      <c r="AK116" s="316"/>
    </row>
    <row r="117" spans="1:37">
      <c r="A117" s="35" t="str">
        <f t="shared" si="4"/>
        <v/>
      </c>
      <c r="B117" s="65" t="str">
        <f t="shared" si="5"/>
        <v/>
      </c>
      <c r="C117" s="112"/>
      <c r="D117" s="315">
        <v>105</v>
      </c>
      <c r="E117" s="314"/>
      <c r="F117" s="314" t="str">
        <f>IF('Sign-On'!H115="","",'Sign-On'!H115)</f>
        <v/>
      </c>
      <c r="G117" s="314"/>
      <c r="H117" s="314"/>
      <c r="I117" s="362" t="str">
        <f>IF('Sign-On'!B115="","",'Sign-On'!B115)</f>
        <v/>
      </c>
      <c r="J117" s="362"/>
      <c r="K117" s="362"/>
      <c r="L117" s="362"/>
      <c r="M117" s="362"/>
      <c r="N117" s="362"/>
      <c r="O117" s="362"/>
      <c r="P117" s="362"/>
      <c r="Q117" s="362" t="str">
        <f>IF('Sign-On'!D115="","",'Sign-On'!D115)</f>
        <v/>
      </c>
      <c r="R117" s="362"/>
      <c r="S117" s="362"/>
      <c r="T117" s="362"/>
      <c r="U117" s="362"/>
      <c r="V117" s="362"/>
      <c r="W117" s="362"/>
      <c r="X117" s="362"/>
      <c r="Y117" s="314" t="str">
        <f>IF('Sign-On'!F115="","",'Sign-On'!F115)</f>
        <v/>
      </c>
      <c r="Z117" s="314"/>
      <c r="AA117" s="258"/>
      <c r="AB117" s="258"/>
      <c r="AC117" s="258"/>
      <c r="AD117" s="313" t="str">
        <f t="shared" si="6"/>
        <v/>
      </c>
      <c r="AE117" s="362"/>
      <c r="AF117" s="362"/>
      <c r="AG117" s="362"/>
      <c r="AH117" s="306"/>
      <c r="AI117" s="307"/>
      <c r="AJ117" s="316"/>
      <c r="AK117" s="316"/>
    </row>
    <row r="118" spans="1:37">
      <c r="A118" s="35" t="str">
        <f t="shared" si="4"/>
        <v/>
      </c>
      <c r="B118" s="65" t="str">
        <f t="shared" si="5"/>
        <v/>
      </c>
      <c r="C118" s="112"/>
      <c r="D118" s="315">
        <v>106</v>
      </c>
      <c r="E118" s="314"/>
      <c r="F118" s="314" t="str">
        <f>IF('Sign-On'!H116="","",'Sign-On'!H116)</f>
        <v/>
      </c>
      <c r="G118" s="314"/>
      <c r="H118" s="314"/>
      <c r="I118" s="362" t="str">
        <f>IF('Sign-On'!B116="","",'Sign-On'!B116)</f>
        <v/>
      </c>
      <c r="J118" s="362"/>
      <c r="K118" s="362"/>
      <c r="L118" s="362"/>
      <c r="M118" s="362"/>
      <c r="N118" s="362"/>
      <c r="O118" s="362"/>
      <c r="P118" s="362"/>
      <c r="Q118" s="362" t="str">
        <f>IF('Sign-On'!D116="","",'Sign-On'!D116)</f>
        <v/>
      </c>
      <c r="R118" s="362"/>
      <c r="S118" s="362"/>
      <c r="T118" s="362"/>
      <c r="U118" s="362"/>
      <c r="V118" s="362"/>
      <c r="W118" s="362"/>
      <c r="X118" s="362"/>
      <c r="Y118" s="314" t="str">
        <f>IF('Sign-On'!F116="","",'Sign-On'!F116)</f>
        <v/>
      </c>
      <c r="Z118" s="314"/>
      <c r="AA118" s="258"/>
      <c r="AB118" s="258"/>
      <c r="AC118" s="258"/>
      <c r="AD118" s="313" t="str">
        <f t="shared" si="6"/>
        <v/>
      </c>
      <c r="AE118" s="362"/>
      <c r="AF118" s="362"/>
      <c r="AG118" s="362"/>
      <c r="AH118" s="306"/>
      <c r="AI118" s="307"/>
      <c r="AJ118" s="316"/>
      <c r="AK118" s="316"/>
    </row>
    <row r="119" spans="1:37">
      <c r="A119" s="35" t="str">
        <f t="shared" si="4"/>
        <v/>
      </c>
      <c r="B119" s="65" t="str">
        <f t="shared" si="5"/>
        <v/>
      </c>
      <c r="C119" s="112"/>
      <c r="D119" s="315">
        <v>107</v>
      </c>
      <c r="E119" s="314"/>
      <c r="F119" s="314" t="str">
        <f>IF('Sign-On'!H117="","",'Sign-On'!H117)</f>
        <v/>
      </c>
      <c r="G119" s="314"/>
      <c r="H119" s="314"/>
      <c r="I119" s="362" t="str">
        <f>IF('Sign-On'!B117="","",'Sign-On'!B117)</f>
        <v/>
      </c>
      <c r="J119" s="362"/>
      <c r="K119" s="362"/>
      <c r="L119" s="362"/>
      <c r="M119" s="362"/>
      <c r="N119" s="362"/>
      <c r="O119" s="362"/>
      <c r="P119" s="362"/>
      <c r="Q119" s="362" t="str">
        <f>IF('Sign-On'!D117="","",'Sign-On'!D117)</f>
        <v/>
      </c>
      <c r="R119" s="362"/>
      <c r="S119" s="362"/>
      <c r="T119" s="362"/>
      <c r="U119" s="362"/>
      <c r="V119" s="362"/>
      <c r="W119" s="362"/>
      <c r="X119" s="362"/>
      <c r="Y119" s="314" t="str">
        <f>IF('Sign-On'!F117="","",'Sign-On'!F117)</f>
        <v/>
      </c>
      <c r="Z119" s="314"/>
      <c r="AA119" s="258"/>
      <c r="AB119" s="258"/>
      <c r="AC119" s="258"/>
      <c r="AD119" s="313" t="str">
        <f t="shared" si="6"/>
        <v/>
      </c>
      <c r="AE119" s="362"/>
      <c r="AF119" s="362"/>
      <c r="AG119" s="362"/>
      <c r="AH119" s="306"/>
      <c r="AI119" s="307"/>
      <c r="AJ119" s="316"/>
      <c r="AK119" s="316"/>
    </row>
    <row r="120" spans="1:37">
      <c r="A120" s="35" t="str">
        <f t="shared" si="4"/>
        <v/>
      </c>
      <c r="B120" s="65" t="str">
        <f t="shared" si="5"/>
        <v/>
      </c>
      <c r="C120" s="112"/>
      <c r="D120" s="315">
        <v>108</v>
      </c>
      <c r="E120" s="314"/>
      <c r="F120" s="314" t="str">
        <f>IF('Sign-On'!H118="","",'Sign-On'!H118)</f>
        <v/>
      </c>
      <c r="G120" s="314"/>
      <c r="H120" s="314"/>
      <c r="I120" s="362" t="str">
        <f>IF('Sign-On'!B118="","",'Sign-On'!B118)</f>
        <v/>
      </c>
      <c r="J120" s="362"/>
      <c r="K120" s="362"/>
      <c r="L120" s="362"/>
      <c r="M120" s="362"/>
      <c r="N120" s="362"/>
      <c r="O120" s="362"/>
      <c r="P120" s="362"/>
      <c r="Q120" s="362" t="str">
        <f>IF('Sign-On'!D118="","",'Sign-On'!D118)</f>
        <v/>
      </c>
      <c r="R120" s="362"/>
      <c r="S120" s="362"/>
      <c r="T120" s="362"/>
      <c r="U120" s="362"/>
      <c r="V120" s="362"/>
      <c r="W120" s="362"/>
      <c r="X120" s="362"/>
      <c r="Y120" s="314" t="str">
        <f>IF('Sign-On'!F118="","",'Sign-On'!F118)</f>
        <v/>
      </c>
      <c r="Z120" s="314"/>
      <c r="AA120" s="258"/>
      <c r="AB120" s="258"/>
      <c r="AC120" s="258"/>
      <c r="AD120" s="313" t="str">
        <f t="shared" si="6"/>
        <v/>
      </c>
      <c r="AE120" s="362"/>
      <c r="AF120" s="362"/>
      <c r="AG120" s="362"/>
      <c r="AH120" s="306"/>
      <c r="AI120" s="307"/>
      <c r="AJ120" s="316"/>
      <c r="AK120" s="316"/>
    </row>
    <row r="121" spans="1:37">
      <c r="A121" s="35" t="str">
        <f t="shared" si="4"/>
        <v/>
      </c>
      <c r="B121" s="65" t="str">
        <f t="shared" si="5"/>
        <v/>
      </c>
      <c r="C121" s="112"/>
      <c r="D121" s="315">
        <v>109</v>
      </c>
      <c r="E121" s="314"/>
      <c r="F121" s="314" t="str">
        <f>IF('Sign-On'!H119="","",'Sign-On'!H119)</f>
        <v/>
      </c>
      <c r="G121" s="314"/>
      <c r="H121" s="314"/>
      <c r="I121" s="362" t="str">
        <f>IF('Sign-On'!B119="","",'Sign-On'!B119)</f>
        <v/>
      </c>
      <c r="J121" s="362"/>
      <c r="K121" s="362"/>
      <c r="L121" s="362"/>
      <c r="M121" s="362"/>
      <c r="N121" s="362"/>
      <c r="O121" s="362"/>
      <c r="P121" s="362"/>
      <c r="Q121" s="362" t="str">
        <f>IF('Sign-On'!D119="","",'Sign-On'!D119)</f>
        <v/>
      </c>
      <c r="R121" s="362"/>
      <c r="S121" s="362"/>
      <c r="T121" s="362"/>
      <c r="U121" s="362"/>
      <c r="V121" s="362"/>
      <c r="W121" s="362"/>
      <c r="X121" s="362"/>
      <c r="Y121" s="314" t="str">
        <f>IF('Sign-On'!F119="","",'Sign-On'!F119)</f>
        <v/>
      </c>
      <c r="Z121" s="314"/>
      <c r="AA121" s="258"/>
      <c r="AB121" s="258"/>
      <c r="AC121" s="258"/>
      <c r="AD121" s="313" t="str">
        <f t="shared" si="6"/>
        <v/>
      </c>
      <c r="AE121" s="362"/>
      <c r="AF121" s="362"/>
      <c r="AG121" s="362"/>
      <c r="AH121" s="306"/>
      <c r="AI121" s="307"/>
      <c r="AJ121" s="316"/>
      <c r="AK121" s="316"/>
    </row>
    <row r="122" spans="1:37">
      <c r="A122" s="35" t="str">
        <f t="shared" si="4"/>
        <v/>
      </c>
      <c r="B122" s="65" t="str">
        <f t="shared" si="5"/>
        <v/>
      </c>
      <c r="C122" s="112"/>
      <c r="D122" s="315">
        <v>110</v>
      </c>
      <c r="E122" s="314"/>
      <c r="F122" s="314" t="str">
        <f>IF('Sign-On'!H120="","",'Sign-On'!H120)</f>
        <v/>
      </c>
      <c r="G122" s="314"/>
      <c r="H122" s="314"/>
      <c r="I122" s="362" t="str">
        <f>IF('Sign-On'!B120="","",'Sign-On'!B120)</f>
        <v/>
      </c>
      <c r="J122" s="362"/>
      <c r="K122" s="362"/>
      <c r="L122" s="362"/>
      <c r="M122" s="362"/>
      <c r="N122" s="362"/>
      <c r="O122" s="362"/>
      <c r="P122" s="362"/>
      <c r="Q122" s="362" t="str">
        <f>IF('Sign-On'!D120="","",'Sign-On'!D120)</f>
        <v/>
      </c>
      <c r="R122" s="362"/>
      <c r="S122" s="362"/>
      <c r="T122" s="362"/>
      <c r="U122" s="362"/>
      <c r="V122" s="362"/>
      <c r="W122" s="362"/>
      <c r="X122" s="362"/>
      <c r="Y122" s="314" t="str">
        <f>IF('Sign-On'!F120="","",'Sign-On'!F120)</f>
        <v/>
      </c>
      <c r="Z122" s="314"/>
      <c r="AA122" s="258"/>
      <c r="AB122" s="258"/>
      <c r="AC122" s="258"/>
      <c r="AD122" s="313" t="str">
        <f t="shared" si="6"/>
        <v/>
      </c>
      <c r="AE122" s="362"/>
      <c r="AF122" s="362"/>
      <c r="AG122" s="362"/>
      <c r="AH122" s="306"/>
      <c r="AI122" s="307"/>
      <c r="AJ122" s="316"/>
      <c r="AK122" s="316"/>
    </row>
    <row r="123" spans="1:37">
      <c r="A123" s="35" t="str">
        <f t="shared" si="4"/>
        <v/>
      </c>
      <c r="B123" s="65" t="str">
        <f t="shared" si="5"/>
        <v/>
      </c>
      <c r="C123" s="112"/>
      <c r="D123" s="315">
        <v>111</v>
      </c>
      <c r="E123" s="314"/>
      <c r="F123" s="314" t="str">
        <f>IF('Sign-On'!H121="","",'Sign-On'!H121)</f>
        <v/>
      </c>
      <c r="G123" s="314"/>
      <c r="H123" s="314"/>
      <c r="I123" s="362" t="str">
        <f>IF('Sign-On'!B121="","",'Sign-On'!B121)</f>
        <v/>
      </c>
      <c r="J123" s="362"/>
      <c r="K123" s="362"/>
      <c r="L123" s="362"/>
      <c r="M123" s="362"/>
      <c r="N123" s="362"/>
      <c r="O123" s="362"/>
      <c r="P123" s="362"/>
      <c r="Q123" s="362" t="str">
        <f>IF('Sign-On'!D121="","",'Sign-On'!D121)</f>
        <v/>
      </c>
      <c r="R123" s="362"/>
      <c r="S123" s="362"/>
      <c r="T123" s="362"/>
      <c r="U123" s="362"/>
      <c r="V123" s="362"/>
      <c r="W123" s="362"/>
      <c r="X123" s="362"/>
      <c r="Y123" s="314" t="str">
        <f>IF('Sign-On'!F121="","",'Sign-On'!F121)</f>
        <v/>
      </c>
      <c r="Z123" s="314"/>
      <c r="AA123" s="258"/>
      <c r="AB123" s="258"/>
      <c r="AC123" s="258"/>
      <c r="AD123" s="313" t="str">
        <f t="shared" si="6"/>
        <v/>
      </c>
      <c r="AE123" s="362"/>
      <c r="AF123" s="362"/>
      <c r="AG123" s="362"/>
      <c r="AH123" s="306"/>
      <c r="AI123" s="307"/>
      <c r="AJ123" s="316"/>
      <c r="AK123" s="316"/>
    </row>
    <row r="124" spans="1:37">
      <c r="A124" s="35" t="str">
        <f t="shared" si="4"/>
        <v/>
      </c>
      <c r="B124" s="65" t="str">
        <f t="shared" si="5"/>
        <v/>
      </c>
      <c r="C124" s="112"/>
      <c r="D124" s="315">
        <v>112</v>
      </c>
      <c r="E124" s="314"/>
      <c r="F124" s="314" t="str">
        <f>IF('Sign-On'!H122="","",'Sign-On'!H122)</f>
        <v/>
      </c>
      <c r="G124" s="314"/>
      <c r="H124" s="314"/>
      <c r="I124" s="362" t="str">
        <f>IF('Sign-On'!B122="","",'Sign-On'!B122)</f>
        <v/>
      </c>
      <c r="J124" s="362"/>
      <c r="K124" s="362"/>
      <c r="L124" s="362"/>
      <c r="M124" s="362"/>
      <c r="N124" s="362"/>
      <c r="O124" s="362"/>
      <c r="P124" s="362"/>
      <c r="Q124" s="362" t="str">
        <f>IF('Sign-On'!D122="","",'Sign-On'!D122)</f>
        <v/>
      </c>
      <c r="R124" s="362"/>
      <c r="S124" s="362"/>
      <c r="T124" s="362"/>
      <c r="U124" s="362"/>
      <c r="V124" s="362"/>
      <c r="W124" s="362"/>
      <c r="X124" s="362"/>
      <c r="Y124" s="314" t="str">
        <f>IF('Sign-On'!F122="","",'Sign-On'!F122)</f>
        <v/>
      </c>
      <c r="Z124" s="314"/>
      <c r="AA124" s="258"/>
      <c r="AB124" s="258"/>
      <c r="AC124" s="258"/>
      <c r="AD124" s="313" t="str">
        <f t="shared" si="6"/>
        <v/>
      </c>
      <c r="AE124" s="362"/>
      <c r="AF124" s="362"/>
      <c r="AG124" s="362"/>
      <c r="AH124" s="306"/>
      <c r="AI124" s="307"/>
      <c r="AJ124" s="316"/>
      <c r="AK124" s="316"/>
    </row>
    <row r="125" spans="1:37">
      <c r="A125" s="35" t="str">
        <f t="shared" si="4"/>
        <v/>
      </c>
      <c r="B125" s="65" t="str">
        <f t="shared" si="5"/>
        <v/>
      </c>
      <c r="C125" s="112"/>
      <c r="D125" s="315">
        <v>113</v>
      </c>
      <c r="E125" s="314"/>
      <c r="F125" s="314" t="str">
        <f>IF('Sign-On'!H123="","",'Sign-On'!H123)</f>
        <v/>
      </c>
      <c r="G125" s="314"/>
      <c r="H125" s="314"/>
      <c r="I125" s="362" t="str">
        <f>IF('Sign-On'!B123="","",'Sign-On'!B123)</f>
        <v/>
      </c>
      <c r="J125" s="362"/>
      <c r="K125" s="362"/>
      <c r="L125" s="362"/>
      <c r="M125" s="362"/>
      <c r="N125" s="362"/>
      <c r="O125" s="362"/>
      <c r="P125" s="362"/>
      <c r="Q125" s="362" t="str">
        <f>IF('Sign-On'!D123="","",'Sign-On'!D123)</f>
        <v/>
      </c>
      <c r="R125" s="362"/>
      <c r="S125" s="362"/>
      <c r="T125" s="362"/>
      <c r="U125" s="362"/>
      <c r="V125" s="362"/>
      <c r="W125" s="362"/>
      <c r="X125" s="362"/>
      <c r="Y125" s="314" t="str">
        <f>IF('Sign-On'!F123="","",'Sign-On'!F123)</f>
        <v/>
      </c>
      <c r="Z125" s="314"/>
      <c r="AA125" s="258"/>
      <c r="AB125" s="258"/>
      <c r="AC125" s="258"/>
      <c r="AD125" s="313" t="str">
        <f t="shared" si="6"/>
        <v/>
      </c>
      <c r="AE125" s="362"/>
      <c r="AF125" s="362"/>
      <c r="AG125" s="362"/>
      <c r="AH125" s="306"/>
      <c r="AI125" s="307"/>
      <c r="AJ125" s="316"/>
      <c r="AK125" s="316"/>
    </row>
    <row r="126" spans="1:37">
      <c r="A126" s="35" t="str">
        <f t="shared" si="4"/>
        <v/>
      </c>
      <c r="B126" s="65" t="str">
        <f t="shared" si="5"/>
        <v/>
      </c>
      <c r="C126" s="112"/>
      <c r="D126" s="315">
        <v>114</v>
      </c>
      <c r="E126" s="314"/>
      <c r="F126" s="314" t="str">
        <f>IF('Sign-On'!H124="","",'Sign-On'!H124)</f>
        <v/>
      </c>
      <c r="G126" s="314"/>
      <c r="H126" s="314"/>
      <c r="I126" s="362" t="str">
        <f>IF('Sign-On'!B124="","",'Sign-On'!B124)</f>
        <v/>
      </c>
      <c r="J126" s="362"/>
      <c r="K126" s="362"/>
      <c r="L126" s="362"/>
      <c r="M126" s="362"/>
      <c r="N126" s="362"/>
      <c r="O126" s="362"/>
      <c r="P126" s="362"/>
      <c r="Q126" s="362" t="str">
        <f>IF('Sign-On'!D124="","",'Sign-On'!D124)</f>
        <v/>
      </c>
      <c r="R126" s="362"/>
      <c r="S126" s="362"/>
      <c r="T126" s="362"/>
      <c r="U126" s="362"/>
      <c r="V126" s="362"/>
      <c r="W126" s="362"/>
      <c r="X126" s="362"/>
      <c r="Y126" s="314" t="str">
        <f>IF('Sign-On'!F124="","",'Sign-On'!F124)</f>
        <v/>
      </c>
      <c r="Z126" s="314"/>
      <c r="AA126" s="258"/>
      <c r="AB126" s="258"/>
      <c r="AC126" s="258"/>
      <c r="AD126" s="313" t="str">
        <f t="shared" si="6"/>
        <v/>
      </c>
      <c r="AE126" s="362"/>
      <c r="AF126" s="362"/>
      <c r="AG126" s="362"/>
      <c r="AH126" s="306"/>
      <c r="AI126" s="307"/>
      <c r="AJ126" s="316"/>
      <c r="AK126" s="316"/>
    </row>
    <row r="127" spans="1:37">
      <c r="A127" s="35" t="str">
        <f t="shared" si="4"/>
        <v/>
      </c>
      <c r="B127" s="65" t="str">
        <f t="shared" si="5"/>
        <v/>
      </c>
      <c r="C127" s="112"/>
      <c r="D127" s="315">
        <v>115</v>
      </c>
      <c r="E127" s="314"/>
      <c r="F127" s="314" t="str">
        <f>IF('Sign-On'!H125="","",'Sign-On'!H125)</f>
        <v/>
      </c>
      <c r="G127" s="314"/>
      <c r="H127" s="314"/>
      <c r="I127" s="362" t="str">
        <f>IF('Sign-On'!B125="","",'Sign-On'!B125)</f>
        <v/>
      </c>
      <c r="J127" s="362"/>
      <c r="K127" s="362"/>
      <c r="L127" s="362"/>
      <c r="M127" s="362"/>
      <c r="N127" s="362"/>
      <c r="O127" s="362"/>
      <c r="P127" s="362"/>
      <c r="Q127" s="362" t="str">
        <f>IF('Sign-On'!D125="","",'Sign-On'!D125)</f>
        <v/>
      </c>
      <c r="R127" s="362"/>
      <c r="S127" s="362"/>
      <c r="T127" s="362"/>
      <c r="U127" s="362"/>
      <c r="V127" s="362"/>
      <c r="W127" s="362"/>
      <c r="X127" s="362"/>
      <c r="Y127" s="314" t="str">
        <f>IF('Sign-On'!F125="","",'Sign-On'!F125)</f>
        <v/>
      </c>
      <c r="Z127" s="314"/>
      <c r="AA127" s="258"/>
      <c r="AB127" s="258"/>
      <c r="AC127" s="258"/>
      <c r="AD127" s="313" t="str">
        <f t="shared" si="6"/>
        <v/>
      </c>
      <c r="AE127" s="362"/>
      <c r="AF127" s="362"/>
      <c r="AG127" s="362"/>
      <c r="AH127" s="306"/>
      <c r="AI127" s="307"/>
      <c r="AJ127" s="316"/>
      <c r="AK127" s="316"/>
    </row>
    <row r="128" spans="1:37">
      <c r="A128" s="35" t="str">
        <f t="shared" si="4"/>
        <v/>
      </c>
      <c r="B128" s="65" t="str">
        <f t="shared" si="5"/>
        <v/>
      </c>
      <c r="C128" s="112"/>
      <c r="D128" s="315">
        <v>116</v>
      </c>
      <c r="E128" s="314"/>
      <c r="F128" s="314" t="str">
        <f>IF('Sign-On'!H126="","",'Sign-On'!H126)</f>
        <v/>
      </c>
      <c r="G128" s="314"/>
      <c r="H128" s="314"/>
      <c r="I128" s="362" t="str">
        <f>IF('Sign-On'!B126="","",'Sign-On'!B126)</f>
        <v/>
      </c>
      <c r="J128" s="362"/>
      <c r="K128" s="362"/>
      <c r="L128" s="362"/>
      <c r="M128" s="362"/>
      <c r="N128" s="362"/>
      <c r="O128" s="362"/>
      <c r="P128" s="362"/>
      <c r="Q128" s="362" t="str">
        <f>IF('Sign-On'!D126="","",'Sign-On'!D126)</f>
        <v/>
      </c>
      <c r="R128" s="362"/>
      <c r="S128" s="362"/>
      <c r="T128" s="362"/>
      <c r="U128" s="362"/>
      <c r="V128" s="362"/>
      <c r="W128" s="362"/>
      <c r="X128" s="362"/>
      <c r="Y128" s="314" t="str">
        <f>IF('Sign-On'!F126="","",'Sign-On'!F126)</f>
        <v/>
      </c>
      <c r="Z128" s="314"/>
      <c r="AA128" s="258"/>
      <c r="AB128" s="258"/>
      <c r="AC128" s="258"/>
      <c r="AD128" s="313" t="str">
        <f t="shared" si="6"/>
        <v/>
      </c>
      <c r="AE128" s="362"/>
      <c r="AF128" s="362"/>
      <c r="AG128" s="362"/>
      <c r="AH128" s="306"/>
      <c r="AI128" s="307"/>
      <c r="AJ128" s="316"/>
      <c r="AK128" s="316"/>
    </row>
    <row r="129" spans="1:37">
      <c r="A129" s="35" t="str">
        <f t="shared" si="4"/>
        <v/>
      </c>
      <c r="B129" s="65" t="str">
        <f t="shared" si="5"/>
        <v/>
      </c>
      <c r="C129" s="112"/>
      <c r="D129" s="315">
        <v>117</v>
      </c>
      <c r="E129" s="314"/>
      <c r="F129" s="314" t="str">
        <f>IF('Sign-On'!H127="","",'Sign-On'!H127)</f>
        <v/>
      </c>
      <c r="G129" s="314"/>
      <c r="H129" s="314"/>
      <c r="I129" s="362" t="str">
        <f>IF('Sign-On'!B127="","",'Sign-On'!B127)</f>
        <v/>
      </c>
      <c r="J129" s="362"/>
      <c r="K129" s="362"/>
      <c r="L129" s="362"/>
      <c r="M129" s="362"/>
      <c r="N129" s="362"/>
      <c r="O129" s="362"/>
      <c r="P129" s="362"/>
      <c r="Q129" s="362" t="str">
        <f>IF('Sign-On'!D127="","",'Sign-On'!D127)</f>
        <v/>
      </c>
      <c r="R129" s="362"/>
      <c r="S129" s="362"/>
      <c r="T129" s="362"/>
      <c r="U129" s="362"/>
      <c r="V129" s="362"/>
      <c r="W129" s="362"/>
      <c r="X129" s="362"/>
      <c r="Y129" s="314" t="str">
        <f>IF('Sign-On'!F127="","",'Sign-On'!F127)</f>
        <v/>
      </c>
      <c r="Z129" s="314"/>
      <c r="AA129" s="258"/>
      <c r="AB129" s="258"/>
      <c r="AC129" s="258"/>
      <c r="AD129" s="313" t="str">
        <f t="shared" si="6"/>
        <v/>
      </c>
      <c r="AE129" s="362"/>
      <c r="AF129" s="362"/>
      <c r="AG129" s="362"/>
      <c r="AH129" s="306"/>
      <c r="AI129" s="307"/>
      <c r="AJ129" s="316"/>
      <c r="AK129" s="316"/>
    </row>
    <row r="130" spans="1:37">
      <c r="A130" s="35" t="str">
        <f t="shared" si="4"/>
        <v/>
      </c>
      <c r="B130" s="65" t="str">
        <f t="shared" si="5"/>
        <v/>
      </c>
      <c r="C130" s="112"/>
      <c r="D130" s="315">
        <v>118</v>
      </c>
      <c r="E130" s="314"/>
      <c r="F130" s="314" t="str">
        <f>IF('Sign-On'!H128="","",'Sign-On'!H128)</f>
        <v/>
      </c>
      <c r="G130" s="314"/>
      <c r="H130" s="314"/>
      <c r="I130" s="362" t="str">
        <f>IF('Sign-On'!B128="","",'Sign-On'!B128)</f>
        <v/>
      </c>
      <c r="J130" s="362"/>
      <c r="K130" s="362"/>
      <c r="L130" s="362"/>
      <c r="M130" s="362"/>
      <c r="N130" s="362"/>
      <c r="O130" s="362"/>
      <c r="P130" s="362"/>
      <c r="Q130" s="362" t="str">
        <f>IF('Sign-On'!D128="","",'Sign-On'!D128)</f>
        <v/>
      </c>
      <c r="R130" s="362"/>
      <c r="S130" s="362"/>
      <c r="T130" s="362"/>
      <c r="U130" s="362"/>
      <c r="V130" s="362"/>
      <c r="W130" s="362"/>
      <c r="X130" s="362"/>
      <c r="Y130" s="314" t="str">
        <f>IF('Sign-On'!F128="","",'Sign-On'!F128)</f>
        <v/>
      </c>
      <c r="Z130" s="314"/>
      <c r="AA130" s="258"/>
      <c r="AB130" s="258"/>
      <c r="AC130" s="258"/>
      <c r="AD130" s="313" t="str">
        <f t="shared" si="6"/>
        <v/>
      </c>
      <c r="AE130" s="362"/>
      <c r="AF130" s="362"/>
      <c r="AG130" s="362"/>
      <c r="AH130" s="306"/>
      <c r="AI130" s="307"/>
      <c r="AJ130" s="316"/>
      <c r="AK130" s="316"/>
    </row>
    <row r="131" spans="1:37">
      <c r="A131" s="35" t="str">
        <f t="shared" si="4"/>
        <v/>
      </c>
      <c r="B131" s="65" t="str">
        <f t="shared" si="5"/>
        <v/>
      </c>
      <c r="C131" s="112"/>
      <c r="D131" s="315">
        <v>119</v>
      </c>
      <c r="E131" s="314"/>
      <c r="F131" s="314" t="str">
        <f>IF('Sign-On'!H129="","",'Sign-On'!H129)</f>
        <v/>
      </c>
      <c r="G131" s="314"/>
      <c r="H131" s="314"/>
      <c r="I131" s="362" t="str">
        <f>IF('Sign-On'!B129="","",'Sign-On'!B129)</f>
        <v/>
      </c>
      <c r="J131" s="362"/>
      <c r="K131" s="362"/>
      <c r="L131" s="362"/>
      <c r="M131" s="362"/>
      <c r="N131" s="362"/>
      <c r="O131" s="362"/>
      <c r="P131" s="362"/>
      <c r="Q131" s="362" t="str">
        <f>IF('Sign-On'!D129="","",'Sign-On'!D129)</f>
        <v/>
      </c>
      <c r="R131" s="362"/>
      <c r="S131" s="362"/>
      <c r="T131" s="362"/>
      <c r="U131" s="362"/>
      <c r="V131" s="362"/>
      <c r="W131" s="362"/>
      <c r="X131" s="362"/>
      <c r="Y131" s="314" t="str">
        <f>IF('Sign-On'!F129="","",'Sign-On'!F129)</f>
        <v/>
      </c>
      <c r="Z131" s="314"/>
      <c r="AA131" s="258"/>
      <c r="AB131" s="258"/>
      <c r="AC131" s="258"/>
      <c r="AD131" s="313" t="str">
        <f t="shared" si="6"/>
        <v/>
      </c>
      <c r="AE131" s="362"/>
      <c r="AF131" s="362"/>
      <c r="AG131" s="362"/>
      <c r="AH131" s="306"/>
      <c r="AI131" s="307"/>
      <c r="AJ131" s="316"/>
      <c r="AK131" s="316"/>
    </row>
    <row r="132" spans="1:37">
      <c r="A132" s="35" t="str">
        <f t="shared" si="4"/>
        <v/>
      </c>
      <c r="B132" s="65" t="str">
        <f t="shared" si="5"/>
        <v/>
      </c>
      <c r="C132" s="112"/>
      <c r="D132" s="315">
        <v>120</v>
      </c>
      <c r="E132" s="314"/>
      <c r="F132" s="314" t="str">
        <f>IF('Sign-On'!H130="","",'Sign-On'!H130)</f>
        <v/>
      </c>
      <c r="G132" s="314"/>
      <c r="H132" s="314"/>
      <c r="I132" s="362" t="str">
        <f>IF('Sign-On'!B130="","",'Sign-On'!B130)</f>
        <v/>
      </c>
      <c r="J132" s="362"/>
      <c r="K132" s="362"/>
      <c r="L132" s="362"/>
      <c r="M132" s="362"/>
      <c r="N132" s="362"/>
      <c r="O132" s="362"/>
      <c r="P132" s="362"/>
      <c r="Q132" s="362" t="str">
        <f>IF('Sign-On'!D130="","",'Sign-On'!D130)</f>
        <v/>
      </c>
      <c r="R132" s="362"/>
      <c r="S132" s="362"/>
      <c r="T132" s="362"/>
      <c r="U132" s="362"/>
      <c r="V132" s="362"/>
      <c r="W132" s="362"/>
      <c r="X132" s="362"/>
      <c r="Y132" s="314" t="str">
        <f>IF('Sign-On'!F130="","",'Sign-On'!F130)</f>
        <v/>
      </c>
      <c r="Z132" s="314"/>
      <c r="AA132" s="258"/>
      <c r="AB132" s="258"/>
      <c r="AC132" s="258"/>
      <c r="AD132" s="313" t="str">
        <f t="shared" si="6"/>
        <v/>
      </c>
      <c r="AE132" s="362"/>
      <c r="AF132" s="362"/>
      <c r="AG132" s="362"/>
      <c r="AH132" s="306"/>
      <c r="AI132" s="307"/>
      <c r="AJ132" s="316"/>
      <c r="AK132" s="316"/>
    </row>
    <row r="133" spans="1:37">
      <c r="A133" s="35" t="str">
        <f t="shared" si="4"/>
        <v/>
      </c>
      <c r="B133" s="65" t="str">
        <f t="shared" si="5"/>
        <v/>
      </c>
      <c r="C133" s="112"/>
      <c r="D133" s="315">
        <v>121</v>
      </c>
      <c r="E133" s="314"/>
      <c r="F133" s="314" t="str">
        <f>IF('Sign-On'!H131="","",'Sign-On'!H131)</f>
        <v/>
      </c>
      <c r="G133" s="314"/>
      <c r="H133" s="314"/>
      <c r="I133" s="362" t="str">
        <f>IF('Sign-On'!B131="","",'Sign-On'!B131)</f>
        <v/>
      </c>
      <c r="J133" s="362"/>
      <c r="K133" s="362"/>
      <c r="L133" s="362"/>
      <c r="M133" s="362"/>
      <c r="N133" s="362"/>
      <c r="O133" s="362"/>
      <c r="P133" s="362"/>
      <c r="Q133" s="362" t="str">
        <f>IF('Sign-On'!D131="","",'Sign-On'!D131)</f>
        <v/>
      </c>
      <c r="R133" s="362"/>
      <c r="S133" s="362"/>
      <c r="T133" s="362"/>
      <c r="U133" s="362"/>
      <c r="V133" s="362"/>
      <c r="W133" s="362"/>
      <c r="X133" s="362"/>
      <c r="Y133" s="314" t="str">
        <f>IF('Sign-On'!F131="","",'Sign-On'!F131)</f>
        <v/>
      </c>
      <c r="Z133" s="314"/>
      <c r="AA133" s="258"/>
      <c r="AB133" s="258"/>
      <c r="AC133" s="258"/>
      <c r="AD133" s="313" t="str">
        <f t="shared" si="6"/>
        <v/>
      </c>
      <c r="AE133" s="362"/>
      <c r="AF133" s="362"/>
      <c r="AG133" s="362"/>
      <c r="AH133" s="306"/>
      <c r="AI133" s="307"/>
      <c r="AJ133" s="316"/>
      <c r="AK133" s="316"/>
    </row>
    <row r="134" spans="1:37">
      <c r="A134" s="35" t="str">
        <f t="shared" si="4"/>
        <v/>
      </c>
      <c r="B134" s="65" t="str">
        <f t="shared" si="5"/>
        <v/>
      </c>
      <c r="C134" s="112"/>
      <c r="D134" s="315">
        <v>122</v>
      </c>
      <c r="E134" s="314"/>
      <c r="F134" s="314" t="str">
        <f>IF('Sign-On'!H132="","",'Sign-On'!H132)</f>
        <v/>
      </c>
      <c r="G134" s="314"/>
      <c r="H134" s="314"/>
      <c r="I134" s="362" t="str">
        <f>IF('Sign-On'!B132="","",'Sign-On'!B132)</f>
        <v/>
      </c>
      <c r="J134" s="362"/>
      <c r="K134" s="362"/>
      <c r="L134" s="362"/>
      <c r="M134" s="362"/>
      <c r="N134" s="362"/>
      <c r="O134" s="362"/>
      <c r="P134" s="362"/>
      <c r="Q134" s="362" t="str">
        <f>IF('Sign-On'!D132="","",'Sign-On'!D132)</f>
        <v/>
      </c>
      <c r="R134" s="362"/>
      <c r="S134" s="362"/>
      <c r="T134" s="362"/>
      <c r="U134" s="362"/>
      <c r="V134" s="362"/>
      <c r="W134" s="362"/>
      <c r="X134" s="362"/>
      <c r="Y134" s="314" t="str">
        <f>IF('Sign-On'!F132="","",'Sign-On'!F132)</f>
        <v/>
      </c>
      <c r="Z134" s="314"/>
      <c r="AA134" s="258"/>
      <c r="AB134" s="258"/>
      <c r="AC134" s="258"/>
      <c r="AD134" s="313" t="str">
        <f t="shared" si="6"/>
        <v/>
      </c>
      <c r="AE134" s="362"/>
      <c r="AF134" s="362"/>
      <c r="AG134" s="362"/>
      <c r="AH134" s="306"/>
      <c r="AI134" s="307"/>
      <c r="AJ134" s="316"/>
      <c r="AK134" s="316"/>
    </row>
    <row r="135" spans="1:37">
      <c r="A135" s="35" t="str">
        <f t="shared" si="4"/>
        <v/>
      </c>
      <c r="B135" s="65" t="str">
        <f t="shared" si="5"/>
        <v/>
      </c>
      <c r="C135" s="112"/>
      <c r="D135" s="315">
        <v>123</v>
      </c>
      <c r="E135" s="314"/>
      <c r="F135" s="314" t="str">
        <f>IF('Sign-On'!H133="","",'Sign-On'!H133)</f>
        <v/>
      </c>
      <c r="G135" s="314"/>
      <c r="H135" s="314"/>
      <c r="I135" s="362" t="str">
        <f>IF('Sign-On'!B133="","",'Sign-On'!B133)</f>
        <v/>
      </c>
      <c r="J135" s="362"/>
      <c r="K135" s="362"/>
      <c r="L135" s="362"/>
      <c r="M135" s="362"/>
      <c r="N135" s="362"/>
      <c r="O135" s="362"/>
      <c r="P135" s="362"/>
      <c r="Q135" s="362" t="str">
        <f>IF('Sign-On'!D133="","",'Sign-On'!D133)</f>
        <v/>
      </c>
      <c r="R135" s="362"/>
      <c r="S135" s="362"/>
      <c r="T135" s="362"/>
      <c r="U135" s="362"/>
      <c r="V135" s="362"/>
      <c r="W135" s="362"/>
      <c r="X135" s="362"/>
      <c r="Y135" s="314" t="str">
        <f>IF('Sign-On'!F133="","",'Sign-On'!F133)</f>
        <v/>
      </c>
      <c r="Z135" s="314"/>
      <c r="AA135" s="258"/>
      <c r="AB135" s="258"/>
      <c r="AC135" s="258"/>
      <c r="AD135" s="313" t="str">
        <f t="shared" si="6"/>
        <v/>
      </c>
      <c r="AE135" s="362"/>
      <c r="AF135" s="362"/>
      <c r="AG135" s="362"/>
      <c r="AH135" s="306"/>
      <c r="AI135" s="307"/>
      <c r="AJ135" s="316"/>
      <c r="AK135" s="316"/>
    </row>
    <row r="136" spans="1:37">
      <c r="A136" s="35" t="str">
        <f t="shared" si="4"/>
        <v/>
      </c>
      <c r="B136" s="65" t="str">
        <f t="shared" si="5"/>
        <v/>
      </c>
      <c r="C136" s="112"/>
      <c r="D136" s="315">
        <v>124</v>
      </c>
      <c r="E136" s="314"/>
      <c r="F136" s="314" t="str">
        <f>IF('Sign-On'!H134="","",'Sign-On'!H134)</f>
        <v/>
      </c>
      <c r="G136" s="314"/>
      <c r="H136" s="314"/>
      <c r="I136" s="362" t="str">
        <f>IF('Sign-On'!B134="","",'Sign-On'!B134)</f>
        <v/>
      </c>
      <c r="J136" s="362"/>
      <c r="K136" s="362"/>
      <c r="L136" s="362"/>
      <c r="M136" s="362"/>
      <c r="N136" s="362"/>
      <c r="O136" s="362"/>
      <c r="P136" s="362"/>
      <c r="Q136" s="362" t="str">
        <f>IF('Sign-On'!D134="","",'Sign-On'!D134)</f>
        <v/>
      </c>
      <c r="R136" s="362"/>
      <c r="S136" s="362"/>
      <c r="T136" s="362"/>
      <c r="U136" s="362"/>
      <c r="V136" s="362"/>
      <c r="W136" s="362"/>
      <c r="X136" s="362"/>
      <c r="Y136" s="314" t="str">
        <f>IF('Sign-On'!F134="","",'Sign-On'!F134)</f>
        <v/>
      </c>
      <c r="Z136" s="314"/>
      <c r="AA136" s="258"/>
      <c r="AB136" s="258"/>
      <c r="AC136" s="258"/>
      <c r="AD136" s="313" t="str">
        <f t="shared" si="6"/>
        <v/>
      </c>
      <c r="AE136" s="362"/>
      <c r="AF136" s="362"/>
      <c r="AG136" s="362"/>
      <c r="AH136" s="306"/>
      <c r="AI136" s="307"/>
      <c r="AJ136" s="316"/>
      <c r="AK136" s="316"/>
    </row>
    <row r="137" spans="1:37">
      <c r="A137" s="35" t="str">
        <f t="shared" si="4"/>
        <v/>
      </c>
      <c r="B137" s="65" t="str">
        <f t="shared" si="5"/>
        <v/>
      </c>
      <c r="C137" s="112"/>
      <c r="D137" s="315">
        <v>125</v>
      </c>
      <c r="E137" s="314"/>
      <c r="F137" s="314" t="str">
        <f>IF('Sign-On'!H135="","",'Sign-On'!H135)</f>
        <v/>
      </c>
      <c r="G137" s="314"/>
      <c r="H137" s="314"/>
      <c r="I137" s="362" t="str">
        <f>IF('Sign-On'!B135="","",'Sign-On'!B135)</f>
        <v/>
      </c>
      <c r="J137" s="362"/>
      <c r="K137" s="362"/>
      <c r="L137" s="362"/>
      <c r="M137" s="362"/>
      <c r="N137" s="362"/>
      <c r="O137" s="362"/>
      <c r="P137" s="362"/>
      <c r="Q137" s="362" t="str">
        <f>IF('Sign-On'!D135="","",'Sign-On'!D135)</f>
        <v/>
      </c>
      <c r="R137" s="362"/>
      <c r="S137" s="362"/>
      <c r="T137" s="362"/>
      <c r="U137" s="362"/>
      <c r="V137" s="362"/>
      <c r="W137" s="362"/>
      <c r="X137" s="362"/>
      <c r="Y137" s="314" t="str">
        <f>IF('Sign-On'!F135="","",'Sign-On'!F135)</f>
        <v/>
      </c>
      <c r="Z137" s="314"/>
      <c r="AA137" s="258"/>
      <c r="AB137" s="258"/>
      <c r="AC137" s="258"/>
      <c r="AD137" s="313" t="str">
        <f t="shared" si="6"/>
        <v/>
      </c>
      <c r="AE137" s="362"/>
      <c r="AF137" s="362"/>
      <c r="AG137" s="362"/>
      <c r="AH137" s="306"/>
      <c r="AI137" s="307"/>
      <c r="AJ137" s="316"/>
      <c r="AK137" s="316"/>
    </row>
    <row r="138" spans="1:37">
      <c r="A138" s="35" t="str">
        <f t="shared" si="4"/>
        <v/>
      </c>
      <c r="B138" s="65" t="str">
        <f t="shared" si="5"/>
        <v/>
      </c>
      <c r="C138" s="112"/>
      <c r="D138" s="315">
        <v>126</v>
      </c>
      <c r="E138" s="314"/>
      <c r="F138" s="314" t="str">
        <f>IF('Sign-On'!H136="","",'Sign-On'!H136)</f>
        <v/>
      </c>
      <c r="G138" s="314"/>
      <c r="H138" s="314"/>
      <c r="I138" s="362" t="str">
        <f>IF('Sign-On'!B136="","",'Sign-On'!B136)</f>
        <v/>
      </c>
      <c r="J138" s="362"/>
      <c r="K138" s="362"/>
      <c r="L138" s="362"/>
      <c r="M138" s="362"/>
      <c r="N138" s="362"/>
      <c r="O138" s="362"/>
      <c r="P138" s="362"/>
      <c r="Q138" s="362" t="str">
        <f>IF('Sign-On'!D136="","",'Sign-On'!D136)</f>
        <v/>
      </c>
      <c r="R138" s="362"/>
      <c r="S138" s="362"/>
      <c r="T138" s="362"/>
      <c r="U138" s="362"/>
      <c r="V138" s="362"/>
      <c r="W138" s="362"/>
      <c r="X138" s="362"/>
      <c r="Y138" s="314" t="str">
        <f>IF('Sign-On'!F136="","",'Sign-On'!F136)</f>
        <v/>
      </c>
      <c r="Z138" s="314"/>
      <c r="AA138" s="258"/>
      <c r="AB138" s="258"/>
      <c r="AC138" s="258"/>
      <c r="AD138" s="313" t="str">
        <f t="shared" si="6"/>
        <v/>
      </c>
      <c r="AE138" s="362"/>
      <c r="AF138" s="362"/>
      <c r="AG138" s="362"/>
      <c r="AH138" s="306"/>
      <c r="AI138" s="307"/>
      <c r="AJ138" s="316"/>
      <c r="AK138" s="316"/>
    </row>
    <row r="139" spans="1:37">
      <c r="A139" s="35" t="str">
        <f t="shared" si="4"/>
        <v/>
      </c>
      <c r="B139" s="65" t="str">
        <f t="shared" si="5"/>
        <v/>
      </c>
      <c r="C139" s="112"/>
      <c r="D139" s="315">
        <v>127</v>
      </c>
      <c r="E139" s="314"/>
      <c r="F139" s="314" t="str">
        <f>IF('Sign-On'!H137="","",'Sign-On'!H137)</f>
        <v/>
      </c>
      <c r="G139" s="314"/>
      <c r="H139" s="314"/>
      <c r="I139" s="362" t="str">
        <f>IF('Sign-On'!B137="","",'Sign-On'!B137)</f>
        <v/>
      </c>
      <c r="J139" s="362"/>
      <c r="K139" s="362"/>
      <c r="L139" s="362"/>
      <c r="M139" s="362"/>
      <c r="N139" s="362"/>
      <c r="O139" s="362"/>
      <c r="P139" s="362"/>
      <c r="Q139" s="362" t="str">
        <f>IF('Sign-On'!D137="","",'Sign-On'!D137)</f>
        <v/>
      </c>
      <c r="R139" s="362"/>
      <c r="S139" s="362"/>
      <c r="T139" s="362"/>
      <c r="U139" s="362"/>
      <c r="V139" s="362"/>
      <c r="W139" s="362"/>
      <c r="X139" s="362"/>
      <c r="Y139" s="314" t="str">
        <f>IF('Sign-On'!F137="","",'Sign-On'!F137)</f>
        <v/>
      </c>
      <c r="Z139" s="314"/>
      <c r="AA139" s="258"/>
      <c r="AB139" s="258"/>
      <c r="AC139" s="258"/>
      <c r="AD139" s="313" t="str">
        <f t="shared" si="6"/>
        <v/>
      </c>
      <c r="AE139" s="362"/>
      <c r="AF139" s="362"/>
      <c r="AG139" s="362"/>
      <c r="AH139" s="306"/>
      <c r="AI139" s="307"/>
      <c r="AJ139" s="316"/>
      <c r="AK139" s="316"/>
    </row>
    <row r="140" spans="1:37">
      <c r="A140" s="35" t="str">
        <f t="shared" si="4"/>
        <v/>
      </c>
      <c r="B140" s="65" t="str">
        <f t="shared" si="5"/>
        <v/>
      </c>
      <c r="C140" s="112"/>
      <c r="D140" s="315">
        <v>128</v>
      </c>
      <c r="E140" s="314"/>
      <c r="F140" s="314" t="str">
        <f>IF('Sign-On'!H138="","",'Sign-On'!H138)</f>
        <v/>
      </c>
      <c r="G140" s="314"/>
      <c r="H140" s="314"/>
      <c r="I140" s="362" t="str">
        <f>IF('Sign-On'!B138="","",'Sign-On'!B138)</f>
        <v/>
      </c>
      <c r="J140" s="362"/>
      <c r="K140" s="362"/>
      <c r="L140" s="362"/>
      <c r="M140" s="362"/>
      <c r="N140" s="362"/>
      <c r="O140" s="362"/>
      <c r="P140" s="362"/>
      <c r="Q140" s="362" t="str">
        <f>IF('Sign-On'!D138="","",'Sign-On'!D138)</f>
        <v/>
      </c>
      <c r="R140" s="362"/>
      <c r="S140" s="362"/>
      <c r="T140" s="362"/>
      <c r="U140" s="362"/>
      <c r="V140" s="362"/>
      <c r="W140" s="362"/>
      <c r="X140" s="362"/>
      <c r="Y140" s="314" t="str">
        <f>IF('Sign-On'!F138="","",'Sign-On'!F138)</f>
        <v/>
      </c>
      <c r="Z140" s="314"/>
      <c r="AA140" s="258"/>
      <c r="AB140" s="258"/>
      <c r="AC140" s="258"/>
      <c r="AD140" s="313" t="str">
        <f t="shared" si="6"/>
        <v/>
      </c>
      <c r="AE140" s="362"/>
      <c r="AF140" s="362"/>
      <c r="AG140" s="362"/>
      <c r="AH140" s="306"/>
      <c r="AI140" s="307"/>
      <c r="AJ140" s="316"/>
      <c r="AK140" s="316"/>
    </row>
    <row r="141" spans="1:37">
      <c r="A141" s="35" t="str">
        <f t="shared" si="4"/>
        <v/>
      </c>
      <c r="B141" s="65" t="str">
        <f t="shared" si="5"/>
        <v/>
      </c>
      <c r="C141" s="112"/>
      <c r="D141" s="315">
        <v>129</v>
      </c>
      <c r="E141" s="314"/>
      <c r="F141" s="314" t="str">
        <f>IF('Sign-On'!H139="","",'Sign-On'!H139)</f>
        <v/>
      </c>
      <c r="G141" s="314"/>
      <c r="H141" s="314"/>
      <c r="I141" s="362" t="str">
        <f>IF('Sign-On'!B139="","",'Sign-On'!B139)</f>
        <v/>
      </c>
      <c r="J141" s="362"/>
      <c r="K141" s="362"/>
      <c r="L141" s="362"/>
      <c r="M141" s="362"/>
      <c r="N141" s="362"/>
      <c r="O141" s="362"/>
      <c r="P141" s="362"/>
      <c r="Q141" s="362" t="str">
        <f>IF('Sign-On'!D139="","",'Sign-On'!D139)</f>
        <v/>
      </c>
      <c r="R141" s="362"/>
      <c r="S141" s="362"/>
      <c r="T141" s="362"/>
      <c r="U141" s="362"/>
      <c r="V141" s="362"/>
      <c r="W141" s="362"/>
      <c r="X141" s="362"/>
      <c r="Y141" s="314" t="str">
        <f>IF('Sign-On'!F139="","",'Sign-On'!F139)</f>
        <v/>
      </c>
      <c r="Z141" s="314"/>
      <c r="AA141" s="258"/>
      <c r="AB141" s="258"/>
      <c r="AC141" s="258"/>
      <c r="AD141" s="313" t="str">
        <f t="shared" si="6"/>
        <v/>
      </c>
      <c r="AE141" s="362"/>
      <c r="AF141" s="362"/>
      <c r="AG141" s="362"/>
      <c r="AH141" s="306"/>
      <c r="AI141" s="307"/>
      <c r="AJ141" s="316"/>
      <c r="AK141" s="316"/>
    </row>
    <row r="142" spans="1:37">
      <c r="A142" s="35" t="str">
        <f t="shared" ref="A142:A205" si="7">IF(ISERROR(RANK(B142,$B$13:$B$212,1)),"",RANK(B142,$B$13:$B$212,1))</f>
        <v/>
      </c>
      <c r="B142" s="65" t="str">
        <f t="shared" ref="B142:B182" si="8">IF(AD142="","",AD142 + 0.000000001 * ROW())</f>
        <v/>
      </c>
      <c r="C142" s="112"/>
      <c r="D142" s="315">
        <v>130</v>
      </c>
      <c r="E142" s="314"/>
      <c r="F142" s="314" t="str">
        <f>IF('Sign-On'!H140="","",'Sign-On'!H140)</f>
        <v/>
      </c>
      <c r="G142" s="314"/>
      <c r="H142" s="314"/>
      <c r="I142" s="362" t="str">
        <f>IF('Sign-On'!B140="","",'Sign-On'!B140)</f>
        <v/>
      </c>
      <c r="J142" s="362"/>
      <c r="K142" s="362"/>
      <c r="L142" s="362"/>
      <c r="M142" s="362"/>
      <c r="N142" s="362"/>
      <c r="O142" s="362"/>
      <c r="P142" s="362"/>
      <c r="Q142" s="362" t="str">
        <f>IF('Sign-On'!D140="","",'Sign-On'!D140)</f>
        <v/>
      </c>
      <c r="R142" s="362"/>
      <c r="S142" s="362"/>
      <c r="T142" s="362"/>
      <c r="U142" s="362"/>
      <c r="V142" s="362"/>
      <c r="W142" s="362"/>
      <c r="X142" s="362"/>
      <c r="Y142" s="314" t="str">
        <f>IF('Sign-On'!F140="","",'Sign-On'!F140)</f>
        <v/>
      </c>
      <c r="Z142" s="314"/>
      <c r="AA142" s="258"/>
      <c r="AB142" s="258"/>
      <c r="AC142" s="258"/>
      <c r="AD142" s="313" t="str">
        <f t="shared" ref="AD142:AD162" si="9">IF(AB142="","",IF(OR(AB142&gt;59,AC142&gt;59),"ERROR",((AA142*3600)+(AB142*60)+AC142)/86400))</f>
        <v/>
      </c>
      <c r="AE142" s="362"/>
      <c r="AF142" s="362"/>
      <c r="AG142" s="362"/>
      <c r="AH142" s="306"/>
      <c r="AI142" s="307"/>
      <c r="AJ142" s="316"/>
      <c r="AK142" s="316"/>
    </row>
    <row r="143" spans="1:37">
      <c r="A143" s="35" t="str">
        <f t="shared" si="7"/>
        <v/>
      </c>
      <c r="B143" s="65" t="str">
        <f t="shared" si="8"/>
        <v/>
      </c>
      <c r="C143" s="112"/>
      <c r="D143" s="315">
        <v>131</v>
      </c>
      <c r="E143" s="314"/>
      <c r="F143" s="314" t="str">
        <f>IF('Sign-On'!H141="","",'Sign-On'!H141)</f>
        <v/>
      </c>
      <c r="G143" s="314"/>
      <c r="H143" s="314"/>
      <c r="I143" s="362" t="str">
        <f>IF('Sign-On'!B141="","",'Sign-On'!B141)</f>
        <v/>
      </c>
      <c r="J143" s="362"/>
      <c r="K143" s="362"/>
      <c r="L143" s="362"/>
      <c r="M143" s="362"/>
      <c r="N143" s="362"/>
      <c r="O143" s="362"/>
      <c r="P143" s="362"/>
      <c r="Q143" s="362" t="str">
        <f>IF('Sign-On'!D141="","",'Sign-On'!D141)</f>
        <v/>
      </c>
      <c r="R143" s="362"/>
      <c r="S143" s="362"/>
      <c r="T143" s="362"/>
      <c r="U143" s="362"/>
      <c r="V143" s="362"/>
      <c r="W143" s="362"/>
      <c r="X143" s="362"/>
      <c r="Y143" s="314" t="str">
        <f>IF('Sign-On'!F141="","",'Sign-On'!F141)</f>
        <v/>
      </c>
      <c r="Z143" s="314"/>
      <c r="AA143" s="258"/>
      <c r="AB143" s="258"/>
      <c r="AC143" s="258"/>
      <c r="AD143" s="313" t="str">
        <f t="shared" si="9"/>
        <v/>
      </c>
      <c r="AE143" s="362"/>
      <c r="AF143" s="362"/>
      <c r="AG143" s="362"/>
      <c r="AH143" s="306"/>
      <c r="AI143" s="307"/>
      <c r="AJ143" s="316"/>
      <c r="AK143" s="316"/>
    </row>
    <row r="144" spans="1:37">
      <c r="A144" s="35" t="str">
        <f t="shared" si="7"/>
        <v/>
      </c>
      <c r="B144" s="65" t="str">
        <f t="shared" si="8"/>
        <v/>
      </c>
      <c r="C144" s="112"/>
      <c r="D144" s="315">
        <v>132</v>
      </c>
      <c r="E144" s="314"/>
      <c r="F144" s="314" t="str">
        <f>IF('Sign-On'!H142="","",'Sign-On'!H142)</f>
        <v/>
      </c>
      <c r="G144" s="314"/>
      <c r="H144" s="314"/>
      <c r="I144" s="362" t="str">
        <f>IF('Sign-On'!B142="","",'Sign-On'!B142)</f>
        <v/>
      </c>
      <c r="J144" s="362"/>
      <c r="K144" s="362"/>
      <c r="L144" s="362"/>
      <c r="M144" s="362"/>
      <c r="N144" s="362"/>
      <c r="O144" s="362"/>
      <c r="P144" s="362"/>
      <c r="Q144" s="362" t="str">
        <f>IF('Sign-On'!D142="","",'Sign-On'!D142)</f>
        <v/>
      </c>
      <c r="R144" s="362"/>
      <c r="S144" s="362"/>
      <c r="T144" s="362"/>
      <c r="U144" s="362"/>
      <c r="V144" s="362"/>
      <c r="W144" s="362"/>
      <c r="X144" s="362"/>
      <c r="Y144" s="314" t="str">
        <f>IF('Sign-On'!F142="","",'Sign-On'!F142)</f>
        <v/>
      </c>
      <c r="Z144" s="314"/>
      <c r="AA144" s="258"/>
      <c r="AB144" s="258"/>
      <c r="AC144" s="258"/>
      <c r="AD144" s="313" t="str">
        <f t="shared" si="9"/>
        <v/>
      </c>
      <c r="AE144" s="362"/>
      <c r="AF144" s="362"/>
      <c r="AG144" s="362"/>
      <c r="AH144" s="306"/>
      <c r="AI144" s="307"/>
      <c r="AJ144" s="316"/>
      <c r="AK144" s="316"/>
    </row>
    <row r="145" spans="1:37">
      <c r="A145" s="35" t="str">
        <f t="shared" si="7"/>
        <v/>
      </c>
      <c r="B145" s="65" t="str">
        <f t="shared" si="8"/>
        <v/>
      </c>
      <c r="C145" s="112"/>
      <c r="D145" s="315">
        <v>133</v>
      </c>
      <c r="E145" s="314"/>
      <c r="F145" s="314" t="str">
        <f>IF('Sign-On'!H143="","",'Sign-On'!H143)</f>
        <v/>
      </c>
      <c r="G145" s="314"/>
      <c r="H145" s="314"/>
      <c r="I145" s="362" t="str">
        <f>IF('Sign-On'!B143="","",'Sign-On'!B143)</f>
        <v/>
      </c>
      <c r="J145" s="362"/>
      <c r="K145" s="362"/>
      <c r="L145" s="362"/>
      <c r="M145" s="362"/>
      <c r="N145" s="362"/>
      <c r="O145" s="362"/>
      <c r="P145" s="362"/>
      <c r="Q145" s="362" t="str">
        <f>IF('Sign-On'!D143="","",'Sign-On'!D143)</f>
        <v/>
      </c>
      <c r="R145" s="362"/>
      <c r="S145" s="362"/>
      <c r="T145" s="362"/>
      <c r="U145" s="362"/>
      <c r="V145" s="362"/>
      <c r="W145" s="362"/>
      <c r="X145" s="362"/>
      <c r="Y145" s="314" t="str">
        <f>IF('Sign-On'!F143="","",'Sign-On'!F143)</f>
        <v/>
      </c>
      <c r="Z145" s="314"/>
      <c r="AA145" s="258"/>
      <c r="AB145" s="258"/>
      <c r="AC145" s="258"/>
      <c r="AD145" s="313" t="str">
        <f t="shared" si="9"/>
        <v/>
      </c>
      <c r="AE145" s="362"/>
      <c r="AF145" s="362"/>
      <c r="AG145" s="362"/>
      <c r="AH145" s="306"/>
      <c r="AI145" s="307"/>
      <c r="AJ145" s="316"/>
      <c r="AK145" s="316"/>
    </row>
    <row r="146" spans="1:37">
      <c r="A146" s="35" t="str">
        <f t="shared" si="7"/>
        <v/>
      </c>
      <c r="B146" s="65" t="str">
        <f t="shared" si="8"/>
        <v/>
      </c>
      <c r="C146" s="112"/>
      <c r="D146" s="315">
        <v>134</v>
      </c>
      <c r="E146" s="314"/>
      <c r="F146" s="314" t="str">
        <f>IF('Sign-On'!H144="","",'Sign-On'!H144)</f>
        <v/>
      </c>
      <c r="G146" s="314"/>
      <c r="H146" s="314"/>
      <c r="I146" s="362" t="str">
        <f>IF('Sign-On'!B144="","",'Sign-On'!B144)</f>
        <v/>
      </c>
      <c r="J146" s="362"/>
      <c r="K146" s="362"/>
      <c r="L146" s="362"/>
      <c r="M146" s="362"/>
      <c r="N146" s="362"/>
      <c r="O146" s="362"/>
      <c r="P146" s="362"/>
      <c r="Q146" s="362" t="str">
        <f>IF('Sign-On'!D144="","",'Sign-On'!D144)</f>
        <v/>
      </c>
      <c r="R146" s="362"/>
      <c r="S146" s="362"/>
      <c r="T146" s="362"/>
      <c r="U146" s="362"/>
      <c r="V146" s="362"/>
      <c r="W146" s="362"/>
      <c r="X146" s="362"/>
      <c r="Y146" s="314" t="str">
        <f>IF('Sign-On'!F144="","",'Sign-On'!F144)</f>
        <v/>
      </c>
      <c r="Z146" s="314"/>
      <c r="AA146" s="258"/>
      <c r="AB146" s="258"/>
      <c r="AC146" s="258"/>
      <c r="AD146" s="313" t="str">
        <f t="shared" si="9"/>
        <v/>
      </c>
      <c r="AE146" s="362"/>
      <c r="AF146" s="362"/>
      <c r="AG146" s="362"/>
      <c r="AH146" s="306"/>
      <c r="AI146" s="307"/>
      <c r="AJ146" s="316"/>
      <c r="AK146" s="316"/>
    </row>
    <row r="147" spans="1:37">
      <c r="A147" s="35" t="str">
        <f t="shared" si="7"/>
        <v/>
      </c>
      <c r="B147" s="65" t="str">
        <f t="shared" si="8"/>
        <v/>
      </c>
      <c r="C147" s="112"/>
      <c r="D147" s="315">
        <v>135</v>
      </c>
      <c r="E147" s="314"/>
      <c r="F147" s="314" t="str">
        <f>IF('Sign-On'!H145="","",'Sign-On'!H145)</f>
        <v/>
      </c>
      <c r="G147" s="314"/>
      <c r="H147" s="314"/>
      <c r="I147" s="362" t="str">
        <f>IF('Sign-On'!B145="","",'Sign-On'!B145)</f>
        <v/>
      </c>
      <c r="J147" s="362"/>
      <c r="K147" s="362"/>
      <c r="L147" s="362"/>
      <c r="M147" s="362"/>
      <c r="N147" s="362"/>
      <c r="O147" s="362"/>
      <c r="P147" s="362"/>
      <c r="Q147" s="362" t="str">
        <f>IF('Sign-On'!D145="","",'Sign-On'!D145)</f>
        <v/>
      </c>
      <c r="R147" s="362"/>
      <c r="S147" s="362"/>
      <c r="T147" s="362"/>
      <c r="U147" s="362"/>
      <c r="V147" s="362"/>
      <c r="W147" s="362"/>
      <c r="X147" s="362"/>
      <c r="Y147" s="314" t="str">
        <f>IF('Sign-On'!F145="","",'Sign-On'!F145)</f>
        <v/>
      </c>
      <c r="Z147" s="314"/>
      <c r="AA147" s="258"/>
      <c r="AB147" s="258"/>
      <c r="AC147" s="258"/>
      <c r="AD147" s="313" t="str">
        <f t="shared" si="9"/>
        <v/>
      </c>
      <c r="AE147" s="362"/>
      <c r="AF147" s="362"/>
      <c r="AG147" s="362"/>
      <c r="AH147" s="306"/>
      <c r="AI147" s="307"/>
      <c r="AJ147" s="316"/>
      <c r="AK147" s="316"/>
    </row>
    <row r="148" spans="1:37">
      <c r="A148" s="35" t="str">
        <f t="shared" si="7"/>
        <v/>
      </c>
      <c r="B148" s="65" t="str">
        <f t="shared" si="8"/>
        <v/>
      </c>
      <c r="C148" s="112"/>
      <c r="D148" s="315">
        <v>136</v>
      </c>
      <c r="E148" s="314"/>
      <c r="F148" s="314" t="str">
        <f>IF('Sign-On'!H146="","",'Sign-On'!H146)</f>
        <v/>
      </c>
      <c r="G148" s="314"/>
      <c r="H148" s="314"/>
      <c r="I148" s="362" t="str">
        <f>IF('Sign-On'!B146="","",'Sign-On'!B146)</f>
        <v/>
      </c>
      <c r="J148" s="362"/>
      <c r="K148" s="362"/>
      <c r="L148" s="362"/>
      <c r="M148" s="362"/>
      <c r="N148" s="362"/>
      <c r="O148" s="362"/>
      <c r="P148" s="362"/>
      <c r="Q148" s="362" t="str">
        <f>IF('Sign-On'!D146="","",'Sign-On'!D146)</f>
        <v/>
      </c>
      <c r="R148" s="362"/>
      <c r="S148" s="362"/>
      <c r="T148" s="362"/>
      <c r="U148" s="362"/>
      <c r="V148" s="362"/>
      <c r="W148" s="362"/>
      <c r="X148" s="362"/>
      <c r="Y148" s="314" t="str">
        <f>IF('Sign-On'!F146="","",'Sign-On'!F146)</f>
        <v/>
      </c>
      <c r="Z148" s="314"/>
      <c r="AA148" s="258"/>
      <c r="AB148" s="258"/>
      <c r="AC148" s="258"/>
      <c r="AD148" s="313" t="str">
        <f t="shared" si="9"/>
        <v/>
      </c>
      <c r="AE148" s="362"/>
      <c r="AF148" s="362"/>
      <c r="AG148" s="362"/>
      <c r="AH148" s="306"/>
      <c r="AI148" s="307"/>
      <c r="AJ148" s="316"/>
      <c r="AK148" s="316"/>
    </row>
    <row r="149" spans="1:37">
      <c r="A149" s="35" t="str">
        <f t="shared" si="7"/>
        <v/>
      </c>
      <c r="B149" s="65" t="str">
        <f t="shared" si="8"/>
        <v/>
      </c>
      <c r="C149" s="112"/>
      <c r="D149" s="315">
        <v>137</v>
      </c>
      <c r="E149" s="314"/>
      <c r="F149" s="314" t="str">
        <f>IF('Sign-On'!H147="","",'Sign-On'!H147)</f>
        <v/>
      </c>
      <c r="G149" s="314"/>
      <c r="H149" s="314"/>
      <c r="I149" s="362" t="str">
        <f>IF('Sign-On'!B147="","",'Sign-On'!B147)</f>
        <v/>
      </c>
      <c r="J149" s="362"/>
      <c r="K149" s="362"/>
      <c r="L149" s="362"/>
      <c r="M149" s="362"/>
      <c r="N149" s="362"/>
      <c r="O149" s="362"/>
      <c r="P149" s="362"/>
      <c r="Q149" s="362" t="str">
        <f>IF('Sign-On'!D147="","",'Sign-On'!D147)</f>
        <v/>
      </c>
      <c r="R149" s="362"/>
      <c r="S149" s="362"/>
      <c r="T149" s="362"/>
      <c r="U149" s="362"/>
      <c r="V149" s="362"/>
      <c r="W149" s="362"/>
      <c r="X149" s="362"/>
      <c r="Y149" s="314" t="str">
        <f>IF('Sign-On'!F147="","",'Sign-On'!F147)</f>
        <v/>
      </c>
      <c r="Z149" s="314"/>
      <c r="AA149" s="258"/>
      <c r="AB149" s="258"/>
      <c r="AC149" s="258"/>
      <c r="AD149" s="313" t="str">
        <f t="shared" si="9"/>
        <v/>
      </c>
      <c r="AE149" s="362"/>
      <c r="AF149" s="362"/>
      <c r="AG149" s="362"/>
      <c r="AH149" s="306"/>
      <c r="AI149" s="307"/>
      <c r="AJ149" s="316"/>
      <c r="AK149" s="316"/>
    </row>
    <row r="150" spans="1:37">
      <c r="A150" s="35" t="str">
        <f t="shared" si="7"/>
        <v/>
      </c>
      <c r="B150" s="65" t="str">
        <f t="shared" si="8"/>
        <v/>
      </c>
      <c r="C150" s="112"/>
      <c r="D150" s="315">
        <v>138</v>
      </c>
      <c r="E150" s="314"/>
      <c r="F150" s="314" t="str">
        <f>IF('Sign-On'!H148="","",'Sign-On'!H148)</f>
        <v/>
      </c>
      <c r="G150" s="314"/>
      <c r="H150" s="314"/>
      <c r="I150" s="362" t="str">
        <f>IF('Sign-On'!B148="","",'Sign-On'!B148)</f>
        <v/>
      </c>
      <c r="J150" s="362"/>
      <c r="K150" s="362"/>
      <c r="L150" s="362"/>
      <c r="M150" s="362"/>
      <c r="N150" s="362"/>
      <c r="O150" s="362"/>
      <c r="P150" s="362"/>
      <c r="Q150" s="362" t="str">
        <f>IF('Sign-On'!D148="","",'Sign-On'!D148)</f>
        <v/>
      </c>
      <c r="R150" s="362"/>
      <c r="S150" s="362"/>
      <c r="T150" s="362"/>
      <c r="U150" s="362"/>
      <c r="V150" s="362"/>
      <c r="W150" s="362"/>
      <c r="X150" s="362"/>
      <c r="Y150" s="314" t="str">
        <f>IF('Sign-On'!F148="","",'Sign-On'!F148)</f>
        <v/>
      </c>
      <c r="Z150" s="314"/>
      <c r="AA150" s="258"/>
      <c r="AB150" s="258"/>
      <c r="AC150" s="258"/>
      <c r="AD150" s="313" t="str">
        <f t="shared" si="9"/>
        <v/>
      </c>
      <c r="AE150" s="362"/>
      <c r="AF150" s="362"/>
      <c r="AG150" s="362"/>
      <c r="AH150" s="306"/>
      <c r="AI150" s="307"/>
      <c r="AJ150" s="316"/>
      <c r="AK150" s="316"/>
    </row>
    <row r="151" spans="1:37">
      <c r="A151" s="35" t="str">
        <f t="shared" si="7"/>
        <v/>
      </c>
      <c r="B151" s="65" t="str">
        <f t="shared" si="8"/>
        <v/>
      </c>
      <c r="C151" s="112"/>
      <c r="D151" s="315">
        <v>139</v>
      </c>
      <c r="E151" s="314"/>
      <c r="F151" s="314" t="str">
        <f>IF('Sign-On'!H149="","",'Sign-On'!H149)</f>
        <v/>
      </c>
      <c r="G151" s="314"/>
      <c r="H151" s="314"/>
      <c r="I151" s="362" t="str">
        <f>IF('Sign-On'!B149="","",'Sign-On'!B149)</f>
        <v/>
      </c>
      <c r="J151" s="362"/>
      <c r="K151" s="362"/>
      <c r="L151" s="362"/>
      <c r="M151" s="362"/>
      <c r="N151" s="362"/>
      <c r="O151" s="362"/>
      <c r="P151" s="362"/>
      <c r="Q151" s="362" t="str">
        <f>IF('Sign-On'!D149="","",'Sign-On'!D149)</f>
        <v/>
      </c>
      <c r="R151" s="362"/>
      <c r="S151" s="362"/>
      <c r="T151" s="362"/>
      <c r="U151" s="362"/>
      <c r="V151" s="362"/>
      <c r="W151" s="362"/>
      <c r="X151" s="362"/>
      <c r="Y151" s="314" t="str">
        <f>IF('Sign-On'!F149="","",'Sign-On'!F149)</f>
        <v/>
      </c>
      <c r="Z151" s="314"/>
      <c r="AA151" s="258"/>
      <c r="AB151" s="258"/>
      <c r="AC151" s="258"/>
      <c r="AD151" s="313" t="str">
        <f t="shared" si="9"/>
        <v/>
      </c>
      <c r="AE151" s="362"/>
      <c r="AF151" s="362"/>
      <c r="AG151" s="362"/>
      <c r="AH151" s="306"/>
      <c r="AI151" s="307"/>
      <c r="AJ151" s="316"/>
      <c r="AK151" s="316"/>
    </row>
    <row r="152" spans="1:37">
      <c r="A152" s="35" t="str">
        <f t="shared" si="7"/>
        <v/>
      </c>
      <c r="B152" s="65" t="str">
        <f t="shared" si="8"/>
        <v/>
      </c>
      <c r="C152" s="112"/>
      <c r="D152" s="315">
        <v>140</v>
      </c>
      <c r="E152" s="314"/>
      <c r="F152" s="314" t="str">
        <f>IF('Sign-On'!H150="","",'Sign-On'!H150)</f>
        <v/>
      </c>
      <c r="G152" s="314"/>
      <c r="H152" s="314"/>
      <c r="I152" s="362" t="str">
        <f>IF('Sign-On'!B150="","",'Sign-On'!B150)</f>
        <v/>
      </c>
      <c r="J152" s="362"/>
      <c r="K152" s="362"/>
      <c r="L152" s="362"/>
      <c r="M152" s="362"/>
      <c r="N152" s="362"/>
      <c r="O152" s="362"/>
      <c r="P152" s="362"/>
      <c r="Q152" s="362" t="str">
        <f>IF('Sign-On'!D150="","",'Sign-On'!D150)</f>
        <v/>
      </c>
      <c r="R152" s="362"/>
      <c r="S152" s="362"/>
      <c r="T152" s="362"/>
      <c r="U152" s="362"/>
      <c r="V152" s="362"/>
      <c r="W152" s="362"/>
      <c r="X152" s="362"/>
      <c r="Y152" s="314" t="str">
        <f>IF('Sign-On'!F150="","",'Sign-On'!F150)</f>
        <v/>
      </c>
      <c r="Z152" s="314"/>
      <c r="AA152" s="258"/>
      <c r="AB152" s="258"/>
      <c r="AC152" s="258"/>
      <c r="AD152" s="313" t="str">
        <f t="shared" si="9"/>
        <v/>
      </c>
      <c r="AE152" s="362"/>
      <c r="AF152" s="362"/>
      <c r="AG152" s="362"/>
      <c r="AH152" s="306"/>
      <c r="AI152" s="307"/>
      <c r="AJ152" s="316"/>
      <c r="AK152" s="316"/>
    </row>
    <row r="153" spans="1:37">
      <c r="A153" s="35" t="str">
        <f t="shared" si="7"/>
        <v/>
      </c>
      <c r="B153" s="65" t="str">
        <f t="shared" si="8"/>
        <v/>
      </c>
      <c r="C153" s="112"/>
      <c r="D153" s="315">
        <v>141</v>
      </c>
      <c r="E153" s="314"/>
      <c r="F153" s="314" t="str">
        <f>IF('Sign-On'!H151="","",'Sign-On'!H151)</f>
        <v/>
      </c>
      <c r="G153" s="314"/>
      <c r="H153" s="314"/>
      <c r="I153" s="362" t="str">
        <f>IF('Sign-On'!B151="","",'Sign-On'!B151)</f>
        <v/>
      </c>
      <c r="J153" s="362"/>
      <c r="K153" s="362"/>
      <c r="L153" s="362"/>
      <c r="M153" s="362"/>
      <c r="N153" s="362"/>
      <c r="O153" s="362"/>
      <c r="P153" s="362"/>
      <c r="Q153" s="362" t="str">
        <f>IF('Sign-On'!D151="","",'Sign-On'!D151)</f>
        <v/>
      </c>
      <c r="R153" s="362"/>
      <c r="S153" s="362"/>
      <c r="T153" s="362"/>
      <c r="U153" s="362"/>
      <c r="V153" s="362"/>
      <c r="W153" s="362"/>
      <c r="X153" s="362"/>
      <c r="Y153" s="314" t="str">
        <f>IF('Sign-On'!F151="","",'Sign-On'!F151)</f>
        <v/>
      </c>
      <c r="Z153" s="314"/>
      <c r="AA153" s="258"/>
      <c r="AB153" s="258"/>
      <c r="AC153" s="258"/>
      <c r="AD153" s="313" t="str">
        <f t="shared" si="9"/>
        <v/>
      </c>
      <c r="AE153" s="362"/>
      <c r="AF153" s="362"/>
      <c r="AG153" s="362"/>
      <c r="AH153" s="306"/>
      <c r="AI153" s="307"/>
      <c r="AJ153" s="316"/>
      <c r="AK153" s="316"/>
    </row>
    <row r="154" spans="1:37">
      <c r="A154" s="35" t="str">
        <f t="shared" si="7"/>
        <v/>
      </c>
      <c r="B154" s="65" t="str">
        <f t="shared" si="8"/>
        <v/>
      </c>
      <c r="C154" s="112"/>
      <c r="D154" s="315">
        <v>142</v>
      </c>
      <c r="E154" s="314"/>
      <c r="F154" s="314" t="str">
        <f>IF('Sign-On'!H152="","",'Sign-On'!H152)</f>
        <v/>
      </c>
      <c r="G154" s="314"/>
      <c r="H154" s="314"/>
      <c r="I154" s="362" t="str">
        <f>IF('Sign-On'!B152="","",'Sign-On'!B152)</f>
        <v/>
      </c>
      <c r="J154" s="362"/>
      <c r="K154" s="362"/>
      <c r="L154" s="362"/>
      <c r="M154" s="362"/>
      <c r="N154" s="362"/>
      <c r="O154" s="362"/>
      <c r="P154" s="362"/>
      <c r="Q154" s="362" t="str">
        <f>IF('Sign-On'!D152="","",'Sign-On'!D152)</f>
        <v/>
      </c>
      <c r="R154" s="362"/>
      <c r="S154" s="362"/>
      <c r="T154" s="362"/>
      <c r="U154" s="362"/>
      <c r="V154" s="362"/>
      <c r="W154" s="362"/>
      <c r="X154" s="362"/>
      <c r="Y154" s="314" t="str">
        <f>IF('Sign-On'!F152="","",'Sign-On'!F152)</f>
        <v/>
      </c>
      <c r="Z154" s="314"/>
      <c r="AA154" s="258"/>
      <c r="AB154" s="258"/>
      <c r="AC154" s="258"/>
      <c r="AD154" s="313" t="str">
        <f t="shared" si="9"/>
        <v/>
      </c>
      <c r="AE154" s="362"/>
      <c r="AF154" s="362"/>
      <c r="AG154" s="362"/>
      <c r="AH154" s="306"/>
      <c r="AI154" s="307"/>
      <c r="AJ154" s="316"/>
      <c r="AK154" s="316"/>
    </row>
    <row r="155" spans="1:37">
      <c r="A155" s="35" t="str">
        <f t="shared" si="7"/>
        <v/>
      </c>
      <c r="B155" s="65" t="str">
        <f t="shared" si="8"/>
        <v/>
      </c>
      <c r="C155" s="112"/>
      <c r="D155" s="315">
        <v>143</v>
      </c>
      <c r="E155" s="314"/>
      <c r="F155" s="314" t="str">
        <f>IF('Sign-On'!H153="","",'Sign-On'!H153)</f>
        <v/>
      </c>
      <c r="G155" s="314"/>
      <c r="H155" s="314"/>
      <c r="I155" s="362" t="str">
        <f>IF('Sign-On'!B153="","",'Sign-On'!B153)</f>
        <v/>
      </c>
      <c r="J155" s="362"/>
      <c r="K155" s="362"/>
      <c r="L155" s="362"/>
      <c r="M155" s="362"/>
      <c r="N155" s="362"/>
      <c r="O155" s="362"/>
      <c r="P155" s="362"/>
      <c r="Q155" s="362" t="str">
        <f>IF('Sign-On'!D153="","",'Sign-On'!D153)</f>
        <v/>
      </c>
      <c r="R155" s="362"/>
      <c r="S155" s="362"/>
      <c r="T155" s="362"/>
      <c r="U155" s="362"/>
      <c r="V155" s="362"/>
      <c r="W155" s="362"/>
      <c r="X155" s="362"/>
      <c r="Y155" s="314" t="str">
        <f>IF('Sign-On'!F153="","",'Sign-On'!F153)</f>
        <v/>
      </c>
      <c r="Z155" s="314"/>
      <c r="AA155" s="258"/>
      <c r="AB155" s="258"/>
      <c r="AC155" s="258"/>
      <c r="AD155" s="313" t="str">
        <f t="shared" si="9"/>
        <v/>
      </c>
      <c r="AE155" s="362"/>
      <c r="AF155" s="362"/>
      <c r="AG155" s="362"/>
      <c r="AH155" s="306"/>
      <c r="AI155" s="307"/>
      <c r="AJ155" s="316"/>
      <c r="AK155" s="316"/>
    </row>
    <row r="156" spans="1:37">
      <c r="A156" s="35" t="str">
        <f t="shared" si="7"/>
        <v/>
      </c>
      <c r="B156" s="65" t="str">
        <f t="shared" si="8"/>
        <v/>
      </c>
      <c r="C156" s="112"/>
      <c r="D156" s="315">
        <v>144</v>
      </c>
      <c r="E156" s="314"/>
      <c r="F156" s="314" t="str">
        <f>IF('Sign-On'!H154="","",'Sign-On'!H154)</f>
        <v/>
      </c>
      <c r="G156" s="314"/>
      <c r="H156" s="314"/>
      <c r="I156" s="362" t="str">
        <f>IF('Sign-On'!B154="","",'Sign-On'!B154)</f>
        <v/>
      </c>
      <c r="J156" s="362"/>
      <c r="K156" s="362"/>
      <c r="L156" s="362"/>
      <c r="M156" s="362"/>
      <c r="N156" s="362"/>
      <c r="O156" s="362"/>
      <c r="P156" s="362"/>
      <c r="Q156" s="362" t="str">
        <f>IF('Sign-On'!D154="","",'Sign-On'!D154)</f>
        <v/>
      </c>
      <c r="R156" s="362"/>
      <c r="S156" s="362"/>
      <c r="T156" s="362"/>
      <c r="U156" s="362"/>
      <c r="V156" s="362"/>
      <c r="W156" s="362"/>
      <c r="X156" s="362"/>
      <c r="Y156" s="314" t="str">
        <f>IF('Sign-On'!F154="","",'Sign-On'!F154)</f>
        <v/>
      </c>
      <c r="Z156" s="314"/>
      <c r="AA156" s="258"/>
      <c r="AB156" s="258"/>
      <c r="AC156" s="258"/>
      <c r="AD156" s="313" t="str">
        <f t="shared" si="9"/>
        <v/>
      </c>
      <c r="AE156" s="362"/>
      <c r="AF156" s="362"/>
      <c r="AG156" s="362"/>
      <c r="AH156" s="306"/>
      <c r="AI156" s="307"/>
      <c r="AJ156" s="316"/>
      <c r="AK156" s="316"/>
    </row>
    <row r="157" spans="1:37">
      <c r="A157" s="35" t="str">
        <f t="shared" si="7"/>
        <v/>
      </c>
      <c r="B157" s="65" t="str">
        <f t="shared" si="8"/>
        <v/>
      </c>
      <c r="C157" s="112"/>
      <c r="D157" s="315">
        <v>145</v>
      </c>
      <c r="E157" s="314"/>
      <c r="F157" s="314" t="str">
        <f>IF('Sign-On'!H155="","",'Sign-On'!H155)</f>
        <v/>
      </c>
      <c r="G157" s="314"/>
      <c r="H157" s="314"/>
      <c r="I157" s="362" t="str">
        <f>IF('Sign-On'!B155="","",'Sign-On'!B155)</f>
        <v/>
      </c>
      <c r="J157" s="362"/>
      <c r="K157" s="362"/>
      <c r="L157" s="362"/>
      <c r="M157" s="362"/>
      <c r="N157" s="362"/>
      <c r="O157" s="362"/>
      <c r="P157" s="362"/>
      <c r="Q157" s="362" t="str">
        <f>IF('Sign-On'!D155="","",'Sign-On'!D155)</f>
        <v/>
      </c>
      <c r="R157" s="362"/>
      <c r="S157" s="362"/>
      <c r="T157" s="362"/>
      <c r="U157" s="362"/>
      <c r="V157" s="362"/>
      <c r="W157" s="362"/>
      <c r="X157" s="362"/>
      <c r="Y157" s="314" t="str">
        <f>IF('Sign-On'!F155="","",'Sign-On'!F155)</f>
        <v/>
      </c>
      <c r="Z157" s="314"/>
      <c r="AA157" s="258"/>
      <c r="AB157" s="258"/>
      <c r="AC157" s="258"/>
      <c r="AD157" s="313" t="str">
        <f t="shared" si="9"/>
        <v/>
      </c>
      <c r="AE157" s="362"/>
      <c r="AF157" s="362"/>
      <c r="AG157" s="362"/>
      <c r="AH157" s="306"/>
      <c r="AI157" s="307"/>
      <c r="AJ157" s="316"/>
      <c r="AK157" s="316"/>
    </row>
    <row r="158" spans="1:37">
      <c r="A158" s="35" t="str">
        <f t="shared" si="7"/>
        <v/>
      </c>
      <c r="B158" s="65" t="str">
        <f t="shared" si="8"/>
        <v/>
      </c>
      <c r="C158" s="112"/>
      <c r="D158" s="315">
        <v>146</v>
      </c>
      <c r="E158" s="314"/>
      <c r="F158" s="314" t="str">
        <f>IF('Sign-On'!H156="","",'Sign-On'!H156)</f>
        <v/>
      </c>
      <c r="G158" s="314"/>
      <c r="H158" s="314"/>
      <c r="I158" s="362" t="str">
        <f>IF('Sign-On'!B156="","",'Sign-On'!B156)</f>
        <v/>
      </c>
      <c r="J158" s="362"/>
      <c r="K158" s="362"/>
      <c r="L158" s="362"/>
      <c r="M158" s="362"/>
      <c r="N158" s="362"/>
      <c r="O158" s="362"/>
      <c r="P158" s="362"/>
      <c r="Q158" s="362" t="str">
        <f>IF('Sign-On'!D156="","",'Sign-On'!D156)</f>
        <v/>
      </c>
      <c r="R158" s="362"/>
      <c r="S158" s="362"/>
      <c r="T158" s="362"/>
      <c r="U158" s="362"/>
      <c r="V158" s="362"/>
      <c r="W158" s="362"/>
      <c r="X158" s="362"/>
      <c r="Y158" s="314" t="str">
        <f>IF('Sign-On'!F156="","",'Sign-On'!F156)</f>
        <v/>
      </c>
      <c r="Z158" s="314"/>
      <c r="AA158" s="258"/>
      <c r="AB158" s="258"/>
      <c r="AC158" s="258"/>
      <c r="AD158" s="313" t="str">
        <f t="shared" si="9"/>
        <v/>
      </c>
      <c r="AE158" s="362"/>
      <c r="AF158" s="362"/>
      <c r="AG158" s="362"/>
      <c r="AH158" s="306"/>
      <c r="AI158" s="307"/>
      <c r="AJ158" s="316"/>
      <c r="AK158" s="316"/>
    </row>
    <row r="159" spans="1:37">
      <c r="A159" s="35" t="str">
        <f t="shared" si="7"/>
        <v/>
      </c>
      <c r="B159" s="65" t="str">
        <f t="shared" si="8"/>
        <v/>
      </c>
      <c r="C159" s="112"/>
      <c r="D159" s="315">
        <v>147</v>
      </c>
      <c r="E159" s="314"/>
      <c r="F159" s="314" t="str">
        <f>IF('Sign-On'!H157="","",'Sign-On'!H157)</f>
        <v/>
      </c>
      <c r="G159" s="314"/>
      <c r="H159" s="314"/>
      <c r="I159" s="362" t="str">
        <f>IF('Sign-On'!B157="","",'Sign-On'!B157)</f>
        <v/>
      </c>
      <c r="J159" s="362"/>
      <c r="K159" s="362"/>
      <c r="L159" s="362"/>
      <c r="M159" s="362"/>
      <c r="N159" s="362"/>
      <c r="O159" s="362"/>
      <c r="P159" s="362"/>
      <c r="Q159" s="362" t="str">
        <f>IF('Sign-On'!D157="","",'Sign-On'!D157)</f>
        <v/>
      </c>
      <c r="R159" s="362"/>
      <c r="S159" s="362"/>
      <c r="T159" s="362"/>
      <c r="U159" s="362"/>
      <c r="V159" s="362"/>
      <c r="W159" s="362"/>
      <c r="X159" s="362"/>
      <c r="Y159" s="314" t="str">
        <f>IF('Sign-On'!F157="","",'Sign-On'!F157)</f>
        <v/>
      </c>
      <c r="Z159" s="314"/>
      <c r="AA159" s="258"/>
      <c r="AB159" s="258"/>
      <c r="AC159" s="258"/>
      <c r="AD159" s="313" t="str">
        <f t="shared" si="9"/>
        <v/>
      </c>
      <c r="AE159" s="362"/>
      <c r="AF159" s="362"/>
      <c r="AG159" s="362"/>
      <c r="AH159" s="306"/>
      <c r="AI159" s="307"/>
      <c r="AJ159" s="316"/>
      <c r="AK159" s="316"/>
    </row>
    <row r="160" spans="1:37">
      <c r="A160" s="35" t="str">
        <f t="shared" si="7"/>
        <v/>
      </c>
      <c r="B160" s="65" t="str">
        <f t="shared" si="8"/>
        <v/>
      </c>
      <c r="C160" s="112"/>
      <c r="D160" s="315">
        <v>148</v>
      </c>
      <c r="E160" s="314"/>
      <c r="F160" s="314" t="str">
        <f>IF('Sign-On'!H158="","",'Sign-On'!H158)</f>
        <v/>
      </c>
      <c r="G160" s="314"/>
      <c r="H160" s="314"/>
      <c r="I160" s="362" t="str">
        <f>IF('Sign-On'!B158="","",'Sign-On'!B158)</f>
        <v/>
      </c>
      <c r="J160" s="362"/>
      <c r="K160" s="362"/>
      <c r="L160" s="362"/>
      <c r="M160" s="362"/>
      <c r="N160" s="362"/>
      <c r="O160" s="362"/>
      <c r="P160" s="362"/>
      <c r="Q160" s="362" t="str">
        <f>IF('Sign-On'!D158="","",'Sign-On'!D158)</f>
        <v/>
      </c>
      <c r="R160" s="362"/>
      <c r="S160" s="362"/>
      <c r="T160" s="362"/>
      <c r="U160" s="362"/>
      <c r="V160" s="362"/>
      <c r="W160" s="362"/>
      <c r="X160" s="362"/>
      <c r="Y160" s="314" t="str">
        <f>IF('Sign-On'!F158="","",'Sign-On'!F158)</f>
        <v/>
      </c>
      <c r="Z160" s="314"/>
      <c r="AA160" s="258"/>
      <c r="AB160" s="258"/>
      <c r="AC160" s="258"/>
      <c r="AD160" s="313" t="str">
        <f t="shared" si="9"/>
        <v/>
      </c>
      <c r="AE160" s="362"/>
      <c r="AF160" s="362"/>
      <c r="AG160" s="362"/>
      <c r="AH160" s="306"/>
      <c r="AI160" s="307"/>
      <c r="AJ160" s="316"/>
      <c r="AK160" s="316"/>
    </row>
    <row r="161" spans="1:37">
      <c r="A161" s="35" t="str">
        <f t="shared" si="7"/>
        <v/>
      </c>
      <c r="B161" s="65" t="str">
        <f t="shared" si="8"/>
        <v/>
      </c>
      <c r="C161" s="112"/>
      <c r="D161" s="315">
        <v>149</v>
      </c>
      <c r="E161" s="314"/>
      <c r="F161" s="314" t="str">
        <f>IF('Sign-On'!H159="","",'Sign-On'!H159)</f>
        <v/>
      </c>
      <c r="G161" s="314"/>
      <c r="H161" s="314"/>
      <c r="I161" s="362" t="str">
        <f>IF('Sign-On'!B159="","",'Sign-On'!B159)</f>
        <v/>
      </c>
      <c r="J161" s="362"/>
      <c r="K161" s="362"/>
      <c r="L161" s="362"/>
      <c r="M161" s="362"/>
      <c r="N161" s="362"/>
      <c r="O161" s="362"/>
      <c r="P161" s="362"/>
      <c r="Q161" s="362" t="str">
        <f>IF('Sign-On'!D159="","",'Sign-On'!D159)</f>
        <v/>
      </c>
      <c r="R161" s="362"/>
      <c r="S161" s="362"/>
      <c r="T161" s="362"/>
      <c r="U161" s="362"/>
      <c r="V161" s="362"/>
      <c r="W161" s="362"/>
      <c r="X161" s="362"/>
      <c r="Y161" s="314" t="str">
        <f>IF('Sign-On'!F159="","",'Sign-On'!F159)</f>
        <v/>
      </c>
      <c r="Z161" s="314"/>
      <c r="AA161" s="258"/>
      <c r="AB161" s="258"/>
      <c r="AC161" s="258"/>
      <c r="AD161" s="313" t="str">
        <f t="shared" si="9"/>
        <v/>
      </c>
      <c r="AE161" s="362"/>
      <c r="AF161" s="362"/>
      <c r="AG161" s="362"/>
      <c r="AH161" s="306"/>
      <c r="AI161" s="307"/>
      <c r="AJ161" s="316"/>
      <c r="AK161" s="316"/>
    </row>
    <row r="162" spans="1:37">
      <c r="A162" s="35" t="str">
        <f t="shared" si="7"/>
        <v/>
      </c>
      <c r="B162" s="65" t="str">
        <f t="shared" si="8"/>
        <v/>
      </c>
      <c r="C162" s="112"/>
      <c r="D162" s="315">
        <v>150</v>
      </c>
      <c r="E162" s="314"/>
      <c r="F162" s="314" t="str">
        <f>IF('Sign-On'!H160="","",'Sign-On'!H160)</f>
        <v/>
      </c>
      <c r="G162" s="314"/>
      <c r="H162" s="314"/>
      <c r="I162" s="362" t="str">
        <f>IF('Sign-On'!B160="","",'Sign-On'!B160)</f>
        <v/>
      </c>
      <c r="J162" s="362"/>
      <c r="K162" s="362"/>
      <c r="L162" s="362"/>
      <c r="M162" s="362"/>
      <c r="N162" s="362"/>
      <c r="O162" s="362"/>
      <c r="P162" s="362"/>
      <c r="Q162" s="362" t="str">
        <f>IF('Sign-On'!D160="","",'Sign-On'!D160)</f>
        <v/>
      </c>
      <c r="R162" s="362"/>
      <c r="S162" s="362"/>
      <c r="T162" s="362"/>
      <c r="U162" s="362"/>
      <c r="V162" s="362"/>
      <c r="W162" s="362"/>
      <c r="X162" s="362"/>
      <c r="Y162" s="314" t="str">
        <f>IF('Sign-On'!F160="","",'Sign-On'!F160)</f>
        <v/>
      </c>
      <c r="Z162" s="314"/>
      <c r="AA162" s="258"/>
      <c r="AB162" s="258"/>
      <c r="AC162" s="258"/>
      <c r="AD162" s="313" t="str">
        <f t="shared" si="9"/>
        <v/>
      </c>
      <c r="AE162" s="362"/>
      <c r="AF162" s="362"/>
      <c r="AG162" s="362"/>
      <c r="AH162" s="306"/>
      <c r="AI162" s="307"/>
      <c r="AJ162" s="316"/>
      <c r="AK162" s="316"/>
    </row>
    <row r="163" spans="1:37">
      <c r="A163" s="35" t="str">
        <f t="shared" si="7"/>
        <v/>
      </c>
      <c r="B163" s="65" t="str">
        <f t="shared" si="8"/>
        <v/>
      </c>
      <c r="C163" s="112"/>
      <c r="D163" s="315">
        <v>151</v>
      </c>
      <c r="E163" s="314"/>
      <c r="F163" s="314" t="str">
        <f>IF('Sign-On'!H161="","",'Sign-On'!H161)</f>
        <v/>
      </c>
      <c r="G163" s="314"/>
      <c r="H163" s="314"/>
      <c r="I163" s="362" t="str">
        <f>IF('Sign-On'!B161="","",'Sign-On'!B161)</f>
        <v/>
      </c>
      <c r="J163" s="362"/>
      <c r="K163" s="362"/>
      <c r="L163" s="362"/>
      <c r="M163" s="362"/>
      <c r="N163" s="362"/>
      <c r="O163" s="362"/>
      <c r="P163" s="362"/>
      <c r="Q163" s="362" t="str">
        <f>IF('Sign-On'!D161="","",'Sign-On'!D161)</f>
        <v/>
      </c>
      <c r="R163" s="362"/>
      <c r="S163" s="362"/>
      <c r="T163" s="362"/>
      <c r="U163" s="362"/>
      <c r="V163" s="362"/>
      <c r="W163" s="362"/>
      <c r="X163" s="362"/>
      <c r="Y163" s="314" t="str">
        <f>IF('Sign-On'!F161="","",'Sign-On'!F161)</f>
        <v/>
      </c>
      <c r="Z163" s="314"/>
      <c r="AA163" s="258"/>
      <c r="AB163" s="258"/>
      <c r="AC163" s="258"/>
      <c r="AD163" s="313" t="str">
        <f t="shared" ref="AD163:AD182" si="10">IF(AB163="","",IF(OR(AB163&gt;59,AC163&gt;59),"ERROR",((AA163*3600)+(AB163*60)+AC163)/86400))</f>
        <v/>
      </c>
      <c r="AE163" s="362"/>
      <c r="AF163" s="362"/>
      <c r="AG163" s="362"/>
      <c r="AH163" s="306"/>
      <c r="AI163" s="307"/>
    </row>
    <row r="164" spans="1:37">
      <c r="A164" s="35" t="str">
        <f t="shared" si="7"/>
        <v/>
      </c>
      <c r="B164" s="65" t="str">
        <f t="shared" si="8"/>
        <v/>
      </c>
      <c r="C164" s="112"/>
      <c r="D164" s="315">
        <v>152</v>
      </c>
      <c r="E164" s="314"/>
      <c r="F164" s="314" t="str">
        <f>IF('Sign-On'!H162="","",'Sign-On'!H162)</f>
        <v/>
      </c>
      <c r="G164" s="314"/>
      <c r="H164" s="314"/>
      <c r="I164" s="362" t="str">
        <f>IF('Sign-On'!B162="","",'Sign-On'!B162)</f>
        <v/>
      </c>
      <c r="J164" s="362"/>
      <c r="K164" s="362"/>
      <c r="L164" s="362"/>
      <c r="M164" s="362"/>
      <c r="N164" s="362"/>
      <c r="O164" s="362"/>
      <c r="P164" s="362"/>
      <c r="Q164" s="362" t="str">
        <f>IF('Sign-On'!D162="","",'Sign-On'!D162)</f>
        <v/>
      </c>
      <c r="R164" s="362"/>
      <c r="S164" s="362"/>
      <c r="T164" s="362"/>
      <c r="U164" s="362"/>
      <c r="V164" s="362"/>
      <c r="W164" s="362"/>
      <c r="X164" s="362"/>
      <c r="Y164" s="314" t="str">
        <f>IF('Sign-On'!F162="","",'Sign-On'!F162)</f>
        <v/>
      </c>
      <c r="Z164" s="314"/>
      <c r="AA164" s="258"/>
      <c r="AB164" s="258"/>
      <c r="AC164" s="258"/>
      <c r="AD164" s="313" t="str">
        <f t="shared" si="10"/>
        <v/>
      </c>
      <c r="AE164" s="362"/>
      <c r="AF164" s="362"/>
      <c r="AG164" s="362"/>
      <c r="AH164" s="306"/>
      <c r="AI164" s="307"/>
    </row>
    <row r="165" spans="1:37">
      <c r="A165" s="35" t="str">
        <f t="shared" si="7"/>
        <v/>
      </c>
      <c r="B165" s="65" t="str">
        <f t="shared" si="8"/>
        <v/>
      </c>
      <c r="C165" s="112"/>
      <c r="D165" s="315">
        <v>153</v>
      </c>
      <c r="E165" s="314"/>
      <c r="F165" s="314" t="str">
        <f>IF('Sign-On'!H163="","",'Sign-On'!H163)</f>
        <v/>
      </c>
      <c r="G165" s="314"/>
      <c r="H165" s="314"/>
      <c r="I165" s="362" t="str">
        <f>IF('Sign-On'!B163="","",'Sign-On'!B163)</f>
        <v/>
      </c>
      <c r="J165" s="362"/>
      <c r="K165" s="362"/>
      <c r="L165" s="362"/>
      <c r="M165" s="362"/>
      <c r="N165" s="362"/>
      <c r="O165" s="362"/>
      <c r="P165" s="362"/>
      <c r="Q165" s="362" t="str">
        <f>IF('Sign-On'!D163="","",'Sign-On'!D163)</f>
        <v/>
      </c>
      <c r="R165" s="362"/>
      <c r="S165" s="362"/>
      <c r="T165" s="362"/>
      <c r="U165" s="362"/>
      <c r="V165" s="362"/>
      <c r="W165" s="362"/>
      <c r="X165" s="362"/>
      <c r="Y165" s="314" t="str">
        <f>IF('Sign-On'!F163="","",'Sign-On'!F163)</f>
        <v/>
      </c>
      <c r="Z165" s="314"/>
      <c r="AA165" s="258"/>
      <c r="AB165" s="258"/>
      <c r="AC165" s="258"/>
      <c r="AD165" s="313" t="str">
        <f t="shared" si="10"/>
        <v/>
      </c>
      <c r="AE165" s="362"/>
      <c r="AF165" s="362"/>
      <c r="AG165" s="362"/>
      <c r="AH165" s="306"/>
      <c r="AI165" s="307"/>
    </row>
    <row r="166" spans="1:37">
      <c r="A166" s="35" t="str">
        <f t="shared" si="7"/>
        <v/>
      </c>
      <c r="B166" s="65" t="str">
        <f t="shared" si="8"/>
        <v/>
      </c>
      <c r="C166" s="112"/>
      <c r="D166" s="315">
        <v>154</v>
      </c>
      <c r="E166" s="314"/>
      <c r="F166" s="314" t="str">
        <f>IF('Sign-On'!H164="","",'Sign-On'!H164)</f>
        <v/>
      </c>
      <c r="G166" s="314"/>
      <c r="H166" s="314"/>
      <c r="I166" s="362" t="str">
        <f>IF('Sign-On'!B164="","",'Sign-On'!B164)</f>
        <v/>
      </c>
      <c r="J166" s="362"/>
      <c r="K166" s="362"/>
      <c r="L166" s="362"/>
      <c r="M166" s="362"/>
      <c r="N166" s="362"/>
      <c r="O166" s="362"/>
      <c r="P166" s="362"/>
      <c r="Q166" s="362" t="str">
        <f>IF('Sign-On'!D164="","",'Sign-On'!D164)</f>
        <v/>
      </c>
      <c r="R166" s="362"/>
      <c r="S166" s="362"/>
      <c r="T166" s="362"/>
      <c r="U166" s="362"/>
      <c r="V166" s="362"/>
      <c r="W166" s="362"/>
      <c r="X166" s="362"/>
      <c r="Y166" s="314" t="str">
        <f>IF('Sign-On'!F164="","",'Sign-On'!F164)</f>
        <v/>
      </c>
      <c r="Z166" s="314"/>
      <c r="AA166" s="258"/>
      <c r="AB166" s="258"/>
      <c r="AC166" s="258"/>
      <c r="AD166" s="313" t="str">
        <f t="shared" si="10"/>
        <v/>
      </c>
      <c r="AE166" s="362"/>
      <c r="AF166" s="362"/>
      <c r="AG166" s="362"/>
      <c r="AH166" s="306"/>
      <c r="AI166" s="307"/>
    </row>
    <row r="167" spans="1:37">
      <c r="A167" s="35" t="str">
        <f t="shared" si="7"/>
        <v/>
      </c>
      <c r="B167" s="65" t="str">
        <f t="shared" si="8"/>
        <v/>
      </c>
      <c r="C167" s="112"/>
      <c r="D167" s="315">
        <v>155</v>
      </c>
      <c r="E167" s="314"/>
      <c r="F167" s="314" t="str">
        <f>IF('Sign-On'!H165="","",'Sign-On'!H165)</f>
        <v/>
      </c>
      <c r="G167" s="314"/>
      <c r="H167" s="314"/>
      <c r="I167" s="362" t="str">
        <f>IF('Sign-On'!B165="","",'Sign-On'!B165)</f>
        <v/>
      </c>
      <c r="J167" s="362"/>
      <c r="K167" s="362"/>
      <c r="L167" s="362"/>
      <c r="M167" s="362"/>
      <c r="N167" s="362"/>
      <c r="O167" s="362"/>
      <c r="P167" s="362"/>
      <c r="Q167" s="362" t="str">
        <f>IF('Sign-On'!D165="","",'Sign-On'!D165)</f>
        <v/>
      </c>
      <c r="R167" s="362"/>
      <c r="S167" s="362"/>
      <c r="T167" s="362"/>
      <c r="U167" s="362"/>
      <c r="V167" s="362"/>
      <c r="W167" s="362"/>
      <c r="X167" s="362"/>
      <c r="Y167" s="314" t="str">
        <f>IF('Sign-On'!F165="","",'Sign-On'!F165)</f>
        <v/>
      </c>
      <c r="Z167" s="314"/>
      <c r="AA167" s="258"/>
      <c r="AB167" s="258"/>
      <c r="AC167" s="258"/>
      <c r="AD167" s="313" t="str">
        <f t="shared" si="10"/>
        <v/>
      </c>
      <c r="AE167" s="362"/>
      <c r="AF167" s="362"/>
      <c r="AG167" s="362"/>
      <c r="AH167" s="306"/>
      <c r="AI167" s="307"/>
    </row>
    <row r="168" spans="1:37">
      <c r="A168" s="35" t="str">
        <f t="shared" si="7"/>
        <v/>
      </c>
      <c r="B168" s="65" t="str">
        <f t="shared" si="8"/>
        <v/>
      </c>
      <c r="C168" s="112"/>
      <c r="D168" s="315">
        <v>156</v>
      </c>
      <c r="E168" s="314"/>
      <c r="F168" s="314" t="str">
        <f>IF('Sign-On'!H166="","",'Sign-On'!H166)</f>
        <v/>
      </c>
      <c r="G168" s="314"/>
      <c r="H168" s="314"/>
      <c r="I168" s="362" t="str">
        <f>IF('Sign-On'!B166="","",'Sign-On'!B166)</f>
        <v/>
      </c>
      <c r="J168" s="362"/>
      <c r="K168" s="362"/>
      <c r="L168" s="362"/>
      <c r="M168" s="362"/>
      <c r="N168" s="362"/>
      <c r="O168" s="362"/>
      <c r="P168" s="362"/>
      <c r="Q168" s="362" t="str">
        <f>IF('Sign-On'!D166="","",'Sign-On'!D166)</f>
        <v/>
      </c>
      <c r="R168" s="362"/>
      <c r="S168" s="362"/>
      <c r="T168" s="362"/>
      <c r="U168" s="362"/>
      <c r="V168" s="362"/>
      <c r="W168" s="362"/>
      <c r="X168" s="362"/>
      <c r="Y168" s="314" t="str">
        <f>IF('Sign-On'!F166="","",'Sign-On'!F166)</f>
        <v/>
      </c>
      <c r="Z168" s="314"/>
      <c r="AA168" s="258"/>
      <c r="AB168" s="258"/>
      <c r="AC168" s="258"/>
      <c r="AD168" s="313" t="str">
        <f t="shared" si="10"/>
        <v/>
      </c>
      <c r="AE168" s="362"/>
      <c r="AF168" s="362"/>
      <c r="AG168" s="362"/>
      <c r="AH168" s="306"/>
      <c r="AI168" s="307"/>
    </row>
    <row r="169" spans="1:37">
      <c r="A169" s="35" t="str">
        <f t="shared" si="7"/>
        <v/>
      </c>
      <c r="B169" s="65" t="str">
        <f t="shared" si="8"/>
        <v/>
      </c>
      <c r="C169" s="112"/>
      <c r="D169" s="315">
        <v>157</v>
      </c>
      <c r="E169" s="314"/>
      <c r="F169" s="314" t="str">
        <f>IF('Sign-On'!H167="","",'Sign-On'!H167)</f>
        <v/>
      </c>
      <c r="G169" s="314"/>
      <c r="H169" s="314"/>
      <c r="I169" s="362" t="str">
        <f>IF('Sign-On'!B167="","",'Sign-On'!B167)</f>
        <v/>
      </c>
      <c r="J169" s="362"/>
      <c r="K169" s="362"/>
      <c r="L169" s="362"/>
      <c r="M169" s="362"/>
      <c r="N169" s="362"/>
      <c r="O169" s="362"/>
      <c r="P169" s="362"/>
      <c r="Q169" s="362" t="str">
        <f>IF('Sign-On'!D167="","",'Sign-On'!D167)</f>
        <v/>
      </c>
      <c r="R169" s="362"/>
      <c r="S169" s="362"/>
      <c r="T169" s="362"/>
      <c r="U169" s="362"/>
      <c r="V169" s="362"/>
      <c r="W169" s="362"/>
      <c r="X169" s="362"/>
      <c r="Y169" s="314" t="str">
        <f>IF('Sign-On'!F167="","",'Sign-On'!F167)</f>
        <v/>
      </c>
      <c r="Z169" s="314"/>
      <c r="AA169" s="258"/>
      <c r="AB169" s="258"/>
      <c r="AC169" s="258"/>
      <c r="AD169" s="313" t="str">
        <f t="shared" si="10"/>
        <v/>
      </c>
      <c r="AE169" s="362"/>
      <c r="AF169" s="362"/>
      <c r="AG169" s="362"/>
      <c r="AH169" s="306"/>
      <c r="AI169" s="307"/>
    </row>
    <row r="170" spans="1:37">
      <c r="A170" s="35" t="str">
        <f t="shared" si="7"/>
        <v/>
      </c>
      <c r="B170" s="65" t="str">
        <f t="shared" si="8"/>
        <v/>
      </c>
      <c r="C170" s="112"/>
      <c r="D170" s="315">
        <v>158</v>
      </c>
      <c r="E170" s="314"/>
      <c r="F170" s="314" t="str">
        <f>IF('Sign-On'!H168="","",'Sign-On'!H168)</f>
        <v/>
      </c>
      <c r="G170" s="314"/>
      <c r="H170" s="314"/>
      <c r="I170" s="362" t="str">
        <f>IF('Sign-On'!B168="","",'Sign-On'!B168)</f>
        <v/>
      </c>
      <c r="J170" s="362"/>
      <c r="K170" s="362"/>
      <c r="L170" s="362"/>
      <c r="M170" s="362"/>
      <c r="N170" s="362"/>
      <c r="O170" s="362"/>
      <c r="P170" s="362"/>
      <c r="Q170" s="362" t="str">
        <f>IF('Sign-On'!D168="","",'Sign-On'!D168)</f>
        <v/>
      </c>
      <c r="R170" s="362"/>
      <c r="S170" s="362"/>
      <c r="T170" s="362"/>
      <c r="U170" s="362"/>
      <c r="V170" s="362"/>
      <c r="W170" s="362"/>
      <c r="X170" s="362"/>
      <c r="Y170" s="314" t="str">
        <f>IF('Sign-On'!F168="","",'Sign-On'!F168)</f>
        <v/>
      </c>
      <c r="Z170" s="314"/>
      <c r="AA170" s="258"/>
      <c r="AB170" s="258"/>
      <c r="AC170" s="258"/>
      <c r="AD170" s="313" t="str">
        <f t="shared" si="10"/>
        <v/>
      </c>
      <c r="AE170" s="362"/>
      <c r="AF170" s="362"/>
      <c r="AG170" s="362"/>
      <c r="AH170" s="306"/>
      <c r="AI170" s="307"/>
    </row>
    <row r="171" spans="1:37">
      <c r="A171" s="35" t="str">
        <f t="shared" si="7"/>
        <v/>
      </c>
      <c r="B171" s="65" t="str">
        <f t="shared" si="8"/>
        <v/>
      </c>
      <c r="C171" s="112"/>
      <c r="D171" s="315">
        <v>159</v>
      </c>
      <c r="E171" s="314"/>
      <c r="F171" s="314" t="str">
        <f>IF('Sign-On'!H169="","",'Sign-On'!H169)</f>
        <v/>
      </c>
      <c r="G171" s="314"/>
      <c r="H171" s="314"/>
      <c r="I171" s="362" t="str">
        <f>IF('Sign-On'!B169="","",'Sign-On'!B169)</f>
        <v/>
      </c>
      <c r="J171" s="362"/>
      <c r="K171" s="362"/>
      <c r="L171" s="362"/>
      <c r="M171" s="362"/>
      <c r="N171" s="362"/>
      <c r="O171" s="362"/>
      <c r="P171" s="362"/>
      <c r="Q171" s="362" t="str">
        <f>IF('Sign-On'!D169="","",'Sign-On'!D169)</f>
        <v/>
      </c>
      <c r="R171" s="362"/>
      <c r="S171" s="362"/>
      <c r="T171" s="362"/>
      <c r="U171" s="362"/>
      <c r="V171" s="362"/>
      <c r="W171" s="362"/>
      <c r="X171" s="362"/>
      <c r="Y171" s="314" t="str">
        <f>IF('Sign-On'!F169="","",'Sign-On'!F169)</f>
        <v/>
      </c>
      <c r="Z171" s="314"/>
      <c r="AA171" s="258"/>
      <c r="AB171" s="258"/>
      <c r="AC171" s="258"/>
      <c r="AD171" s="313" t="str">
        <f t="shared" si="10"/>
        <v/>
      </c>
      <c r="AE171" s="362"/>
      <c r="AF171" s="362"/>
      <c r="AG171" s="362"/>
      <c r="AH171" s="306"/>
      <c r="AI171" s="307"/>
    </row>
    <row r="172" spans="1:37">
      <c r="A172" s="35" t="str">
        <f t="shared" si="7"/>
        <v/>
      </c>
      <c r="B172" s="65" t="str">
        <f t="shared" si="8"/>
        <v/>
      </c>
      <c r="C172" s="112"/>
      <c r="D172" s="315">
        <v>160</v>
      </c>
      <c r="E172" s="314"/>
      <c r="F172" s="314" t="str">
        <f>IF('Sign-On'!H170="","",'Sign-On'!H170)</f>
        <v/>
      </c>
      <c r="G172" s="314"/>
      <c r="H172" s="314"/>
      <c r="I172" s="362" t="str">
        <f>IF('Sign-On'!B170="","",'Sign-On'!B170)</f>
        <v/>
      </c>
      <c r="J172" s="362"/>
      <c r="K172" s="362"/>
      <c r="L172" s="362"/>
      <c r="M172" s="362"/>
      <c r="N172" s="362"/>
      <c r="O172" s="362"/>
      <c r="P172" s="362"/>
      <c r="Q172" s="362" t="str">
        <f>IF('Sign-On'!D170="","",'Sign-On'!D170)</f>
        <v/>
      </c>
      <c r="R172" s="362"/>
      <c r="S172" s="362"/>
      <c r="T172" s="362"/>
      <c r="U172" s="362"/>
      <c r="V172" s="362"/>
      <c r="W172" s="362"/>
      <c r="X172" s="362"/>
      <c r="Y172" s="314" t="str">
        <f>IF('Sign-On'!F170="","",'Sign-On'!F170)</f>
        <v/>
      </c>
      <c r="Z172" s="314"/>
      <c r="AA172" s="258"/>
      <c r="AB172" s="258"/>
      <c r="AC172" s="258"/>
      <c r="AD172" s="313" t="str">
        <f t="shared" si="10"/>
        <v/>
      </c>
      <c r="AE172" s="362"/>
      <c r="AF172" s="362"/>
      <c r="AG172" s="362"/>
      <c r="AH172" s="306"/>
      <c r="AI172" s="307"/>
    </row>
    <row r="173" spans="1:37">
      <c r="A173" s="35" t="str">
        <f t="shared" si="7"/>
        <v/>
      </c>
      <c r="B173" s="65" t="str">
        <f t="shared" si="8"/>
        <v/>
      </c>
      <c r="C173" s="112"/>
      <c r="D173" s="315">
        <v>161</v>
      </c>
      <c r="E173" s="314"/>
      <c r="F173" s="314" t="str">
        <f>IF('Sign-On'!H171="","",'Sign-On'!H171)</f>
        <v/>
      </c>
      <c r="G173" s="314"/>
      <c r="H173" s="314"/>
      <c r="I173" s="362" t="str">
        <f>IF('Sign-On'!B171="","",'Sign-On'!B171)</f>
        <v/>
      </c>
      <c r="J173" s="362"/>
      <c r="K173" s="362"/>
      <c r="L173" s="362"/>
      <c r="M173" s="362"/>
      <c r="N173" s="362"/>
      <c r="O173" s="362"/>
      <c r="P173" s="362"/>
      <c r="Q173" s="362" t="str">
        <f>IF('Sign-On'!D171="","",'Sign-On'!D171)</f>
        <v/>
      </c>
      <c r="R173" s="362"/>
      <c r="S173" s="362"/>
      <c r="T173" s="362"/>
      <c r="U173" s="362"/>
      <c r="V173" s="362"/>
      <c r="W173" s="362"/>
      <c r="X173" s="362"/>
      <c r="Y173" s="314" t="str">
        <f>IF('Sign-On'!F171="","",'Sign-On'!F171)</f>
        <v/>
      </c>
      <c r="Z173" s="314"/>
      <c r="AA173" s="258"/>
      <c r="AB173" s="258"/>
      <c r="AC173" s="258"/>
      <c r="AD173" s="313" t="str">
        <f t="shared" si="10"/>
        <v/>
      </c>
      <c r="AE173" s="362"/>
      <c r="AF173" s="362"/>
      <c r="AG173" s="362"/>
      <c r="AH173" s="306"/>
      <c r="AI173" s="307"/>
    </row>
    <row r="174" spans="1:37">
      <c r="A174" s="35" t="str">
        <f t="shared" si="7"/>
        <v/>
      </c>
      <c r="B174" s="65" t="str">
        <f t="shared" si="8"/>
        <v/>
      </c>
      <c r="C174" s="112"/>
      <c r="D174" s="315">
        <v>162</v>
      </c>
      <c r="E174" s="314"/>
      <c r="F174" s="314" t="str">
        <f>IF('Sign-On'!H172="","",'Sign-On'!H172)</f>
        <v/>
      </c>
      <c r="G174" s="314"/>
      <c r="H174" s="314"/>
      <c r="I174" s="362" t="str">
        <f>IF('Sign-On'!B172="","",'Sign-On'!B172)</f>
        <v/>
      </c>
      <c r="J174" s="362"/>
      <c r="K174" s="362"/>
      <c r="L174" s="362"/>
      <c r="M174" s="362"/>
      <c r="N174" s="362"/>
      <c r="O174" s="362"/>
      <c r="P174" s="362"/>
      <c r="Q174" s="362" t="str">
        <f>IF('Sign-On'!D172="","",'Sign-On'!D172)</f>
        <v/>
      </c>
      <c r="R174" s="362"/>
      <c r="S174" s="362"/>
      <c r="T174" s="362"/>
      <c r="U174" s="362"/>
      <c r="V174" s="362"/>
      <c r="W174" s="362"/>
      <c r="X174" s="362"/>
      <c r="Y174" s="314" t="str">
        <f>IF('Sign-On'!F172="","",'Sign-On'!F172)</f>
        <v/>
      </c>
      <c r="Z174" s="314"/>
      <c r="AA174" s="258"/>
      <c r="AB174" s="258"/>
      <c r="AC174" s="258"/>
      <c r="AD174" s="313" t="str">
        <f t="shared" si="10"/>
        <v/>
      </c>
      <c r="AE174" s="362"/>
      <c r="AF174" s="362"/>
      <c r="AG174" s="362"/>
      <c r="AH174" s="306"/>
      <c r="AI174" s="307"/>
    </row>
    <row r="175" spans="1:37">
      <c r="A175" s="35" t="str">
        <f t="shared" si="7"/>
        <v/>
      </c>
      <c r="B175" s="65" t="str">
        <f t="shared" si="8"/>
        <v/>
      </c>
      <c r="C175" s="112"/>
      <c r="D175" s="315">
        <v>163</v>
      </c>
      <c r="E175" s="314"/>
      <c r="F175" s="314" t="str">
        <f>IF('Sign-On'!H173="","",'Sign-On'!H173)</f>
        <v/>
      </c>
      <c r="G175" s="314"/>
      <c r="H175" s="314"/>
      <c r="I175" s="362" t="str">
        <f>IF('Sign-On'!B173="","",'Sign-On'!B173)</f>
        <v/>
      </c>
      <c r="J175" s="362"/>
      <c r="K175" s="362"/>
      <c r="L175" s="362"/>
      <c r="M175" s="362"/>
      <c r="N175" s="362"/>
      <c r="O175" s="362"/>
      <c r="P175" s="362"/>
      <c r="Q175" s="362" t="str">
        <f>IF('Sign-On'!D173="","",'Sign-On'!D173)</f>
        <v/>
      </c>
      <c r="R175" s="362"/>
      <c r="S175" s="362"/>
      <c r="T175" s="362"/>
      <c r="U175" s="362"/>
      <c r="V175" s="362"/>
      <c r="W175" s="362"/>
      <c r="X175" s="362"/>
      <c r="Y175" s="314" t="str">
        <f>IF('Sign-On'!F173="","",'Sign-On'!F173)</f>
        <v/>
      </c>
      <c r="Z175" s="314"/>
      <c r="AA175" s="258"/>
      <c r="AB175" s="258"/>
      <c r="AC175" s="258"/>
      <c r="AD175" s="313" t="str">
        <f t="shared" si="10"/>
        <v/>
      </c>
      <c r="AE175" s="362"/>
      <c r="AF175" s="362"/>
      <c r="AG175" s="362"/>
      <c r="AH175" s="306"/>
      <c r="AI175" s="307"/>
    </row>
    <row r="176" spans="1:37">
      <c r="A176" s="35" t="str">
        <f t="shared" si="7"/>
        <v/>
      </c>
      <c r="B176" s="65" t="str">
        <f t="shared" si="8"/>
        <v/>
      </c>
      <c r="C176" s="112"/>
      <c r="D176" s="315">
        <v>164</v>
      </c>
      <c r="E176" s="314"/>
      <c r="F176" s="314" t="str">
        <f>IF('Sign-On'!H174="","",'Sign-On'!H174)</f>
        <v/>
      </c>
      <c r="G176" s="314"/>
      <c r="H176" s="314"/>
      <c r="I176" s="362" t="str">
        <f>IF('Sign-On'!B174="","",'Sign-On'!B174)</f>
        <v/>
      </c>
      <c r="J176" s="362"/>
      <c r="K176" s="362"/>
      <c r="L176" s="362"/>
      <c r="M176" s="362"/>
      <c r="N176" s="362"/>
      <c r="O176" s="362"/>
      <c r="P176" s="362"/>
      <c r="Q176" s="362" t="str">
        <f>IF('Sign-On'!D174="","",'Sign-On'!D174)</f>
        <v/>
      </c>
      <c r="R176" s="362"/>
      <c r="S176" s="362"/>
      <c r="T176" s="362"/>
      <c r="U176" s="362"/>
      <c r="V176" s="362"/>
      <c r="W176" s="362"/>
      <c r="X176" s="362"/>
      <c r="Y176" s="314" t="str">
        <f>IF('Sign-On'!F174="","",'Sign-On'!F174)</f>
        <v/>
      </c>
      <c r="Z176" s="314"/>
      <c r="AA176" s="258"/>
      <c r="AB176" s="258"/>
      <c r="AC176" s="258"/>
      <c r="AD176" s="313" t="str">
        <f t="shared" si="10"/>
        <v/>
      </c>
      <c r="AE176" s="362"/>
      <c r="AF176" s="362"/>
      <c r="AG176" s="362"/>
      <c r="AH176" s="306"/>
      <c r="AI176" s="307"/>
    </row>
    <row r="177" spans="1:35">
      <c r="A177" s="35" t="str">
        <f t="shared" si="7"/>
        <v/>
      </c>
      <c r="B177" s="65" t="str">
        <f t="shared" si="8"/>
        <v/>
      </c>
      <c r="C177" s="112"/>
      <c r="D177" s="315">
        <v>165</v>
      </c>
      <c r="E177" s="314"/>
      <c r="F177" s="314" t="str">
        <f>IF('Sign-On'!H175="","",'Sign-On'!H175)</f>
        <v/>
      </c>
      <c r="G177" s="314"/>
      <c r="H177" s="314"/>
      <c r="I177" s="362" t="str">
        <f>IF('Sign-On'!B175="","",'Sign-On'!B175)</f>
        <v/>
      </c>
      <c r="J177" s="362"/>
      <c r="K177" s="362"/>
      <c r="L177" s="362"/>
      <c r="M177" s="362"/>
      <c r="N177" s="362"/>
      <c r="O177" s="362"/>
      <c r="P177" s="362"/>
      <c r="Q177" s="362" t="str">
        <f>IF('Sign-On'!D175="","",'Sign-On'!D175)</f>
        <v/>
      </c>
      <c r="R177" s="362"/>
      <c r="S177" s="362"/>
      <c r="T177" s="362"/>
      <c r="U177" s="362"/>
      <c r="V177" s="362"/>
      <c r="W177" s="362"/>
      <c r="X177" s="362"/>
      <c r="Y177" s="314" t="str">
        <f>IF('Sign-On'!F175="","",'Sign-On'!F175)</f>
        <v/>
      </c>
      <c r="Z177" s="314"/>
      <c r="AA177" s="258"/>
      <c r="AB177" s="258"/>
      <c r="AC177" s="258"/>
      <c r="AD177" s="313" t="str">
        <f t="shared" si="10"/>
        <v/>
      </c>
      <c r="AE177" s="362"/>
      <c r="AF177" s="362"/>
      <c r="AG177" s="362"/>
      <c r="AH177" s="306"/>
      <c r="AI177" s="307"/>
    </row>
    <row r="178" spans="1:35">
      <c r="A178" s="35" t="str">
        <f t="shared" si="7"/>
        <v/>
      </c>
      <c r="B178" s="65" t="str">
        <f t="shared" si="8"/>
        <v/>
      </c>
      <c r="C178" s="112"/>
      <c r="D178" s="315">
        <v>166</v>
      </c>
      <c r="E178" s="314"/>
      <c r="F178" s="314" t="str">
        <f>IF('Sign-On'!H176="","",'Sign-On'!H176)</f>
        <v/>
      </c>
      <c r="G178" s="314"/>
      <c r="H178" s="314"/>
      <c r="I178" s="362" t="str">
        <f>IF('Sign-On'!B176="","",'Sign-On'!B176)</f>
        <v/>
      </c>
      <c r="J178" s="362"/>
      <c r="K178" s="362"/>
      <c r="L178" s="362"/>
      <c r="M178" s="362"/>
      <c r="N178" s="362"/>
      <c r="O178" s="362"/>
      <c r="P178" s="362"/>
      <c r="Q178" s="362" t="str">
        <f>IF('Sign-On'!D176="","",'Sign-On'!D176)</f>
        <v/>
      </c>
      <c r="R178" s="362"/>
      <c r="S178" s="362"/>
      <c r="T178" s="362"/>
      <c r="U178" s="362"/>
      <c r="V178" s="362"/>
      <c r="W178" s="362"/>
      <c r="X178" s="362"/>
      <c r="Y178" s="314" t="str">
        <f>IF('Sign-On'!F176="","",'Sign-On'!F176)</f>
        <v/>
      </c>
      <c r="Z178" s="314"/>
      <c r="AA178" s="258"/>
      <c r="AB178" s="258"/>
      <c r="AC178" s="258"/>
      <c r="AD178" s="313" t="str">
        <f t="shared" si="10"/>
        <v/>
      </c>
      <c r="AE178" s="362"/>
      <c r="AF178" s="362"/>
      <c r="AG178" s="362"/>
      <c r="AH178" s="306"/>
      <c r="AI178" s="307"/>
    </row>
    <row r="179" spans="1:35">
      <c r="A179" s="35" t="str">
        <f t="shared" si="7"/>
        <v/>
      </c>
      <c r="B179" s="65" t="str">
        <f t="shared" si="8"/>
        <v/>
      </c>
      <c r="C179" s="112"/>
      <c r="D179" s="315">
        <v>167</v>
      </c>
      <c r="E179" s="314"/>
      <c r="F179" s="314" t="str">
        <f>IF('Sign-On'!H177="","",'Sign-On'!H177)</f>
        <v/>
      </c>
      <c r="G179" s="314"/>
      <c r="H179" s="314"/>
      <c r="I179" s="362" t="str">
        <f>IF('Sign-On'!B177="","",'Sign-On'!B177)</f>
        <v/>
      </c>
      <c r="J179" s="362"/>
      <c r="K179" s="362"/>
      <c r="L179" s="362"/>
      <c r="M179" s="362"/>
      <c r="N179" s="362"/>
      <c r="O179" s="362"/>
      <c r="P179" s="362"/>
      <c r="Q179" s="362" t="str">
        <f>IF('Sign-On'!D177="","",'Sign-On'!D177)</f>
        <v/>
      </c>
      <c r="R179" s="362"/>
      <c r="S179" s="362"/>
      <c r="T179" s="362"/>
      <c r="U179" s="362"/>
      <c r="V179" s="362"/>
      <c r="W179" s="362"/>
      <c r="X179" s="362"/>
      <c r="Y179" s="314" t="str">
        <f>IF('Sign-On'!F177="","",'Sign-On'!F177)</f>
        <v/>
      </c>
      <c r="Z179" s="314"/>
      <c r="AA179" s="258"/>
      <c r="AB179" s="258"/>
      <c r="AC179" s="258"/>
      <c r="AD179" s="313" t="str">
        <f t="shared" si="10"/>
        <v/>
      </c>
      <c r="AE179" s="362"/>
      <c r="AF179" s="362"/>
      <c r="AG179" s="362"/>
      <c r="AH179" s="306"/>
      <c r="AI179" s="307"/>
    </row>
    <row r="180" spans="1:35">
      <c r="A180" s="35" t="str">
        <f t="shared" si="7"/>
        <v/>
      </c>
      <c r="B180" s="65" t="str">
        <f t="shared" si="8"/>
        <v/>
      </c>
      <c r="C180" s="112"/>
      <c r="D180" s="315">
        <v>168</v>
      </c>
      <c r="E180" s="314"/>
      <c r="F180" s="314" t="str">
        <f>IF('Sign-On'!H178="","",'Sign-On'!H178)</f>
        <v/>
      </c>
      <c r="G180" s="314"/>
      <c r="H180" s="314"/>
      <c r="I180" s="362" t="str">
        <f>IF('Sign-On'!B178="","",'Sign-On'!B178)</f>
        <v/>
      </c>
      <c r="J180" s="362"/>
      <c r="K180" s="362"/>
      <c r="L180" s="362"/>
      <c r="M180" s="362"/>
      <c r="N180" s="362"/>
      <c r="O180" s="362"/>
      <c r="P180" s="362"/>
      <c r="Q180" s="362" t="str">
        <f>IF('Sign-On'!D178="","",'Sign-On'!D178)</f>
        <v/>
      </c>
      <c r="R180" s="362"/>
      <c r="S180" s="362"/>
      <c r="T180" s="362"/>
      <c r="U180" s="362"/>
      <c r="V180" s="362"/>
      <c r="W180" s="362"/>
      <c r="X180" s="362"/>
      <c r="Y180" s="314" t="str">
        <f>IF('Sign-On'!F178="","",'Sign-On'!F178)</f>
        <v/>
      </c>
      <c r="Z180" s="314"/>
      <c r="AA180" s="258"/>
      <c r="AB180" s="258"/>
      <c r="AC180" s="258"/>
      <c r="AD180" s="313" t="str">
        <f t="shared" si="10"/>
        <v/>
      </c>
      <c r="AE180" s="362"/>
      <c r="AF180" s="362"/>
      <c r="AG180" s="362"/>
      <c r="AH180" s="306"/>
      <c r="AI180" s="307"/>
    </row>
    <row r="181" spans="1:35">
      <c r="A181" s="35" t="str">
        <f t="shared" si="7"/>
        <v/>
      </c>
      <c r="B181" s="65" t="str">
        <f t="shared" si="8"/>
        <v/>
      </c>
      <c r="C181" s="112"/>
      <c r="D181" s="315">
        <v>169</v>
      </c>
      <c r="E181" s="314"/>
      <c r="F181" s="314" t="str">
        <f>IF('Sign-On'!H179="","",'Sign-On'!H179)</f>
        <v/>
      </c>
      <c r="G181" s="314"/>
      <c r="H181" s="314"/>
      <c r="I181" s="362" t="str">
        <f>IF('Sign-On'!B179="","",'Sign-On'!B179)</f>
        <v/>
      </c>
      <c r="J181" s="362"/>
      <c r="K181" s="362"/>
      <c r="L181" s="362"/>
      <c r="M181" s="362"/>
      <c r="N181" s="362"/>
      <c r="O181" s="362"/>
      <c r="P181" s="362"/>
      <c r="Q181" s="362" t="str">
        <f>IF('Sign-On'!D179="","",'Sign-On'!D179)</f>
        <v/>
      </c>
      <c r="R181" s="362"/>
      <c r="S181" s="362"/>
      <c r="T181" s="362"/>
      <c r="U181" s="362"/>
      <c r="V181" s="362"/>
      <c r="W181" s="362"/>
      <c r="X181" s="362"/>
      <c r="Y181" s="314" t="str">
        <f>IF('Sign-On'!F179="","",'Sign-On'!F179)</f>
        <v/>
      </c>
      <c r="Z181" s="314"/>
      <c r="AA181" s="258"/>
      <c r="AB181" s="258"/>
      <c r="AC181" s="258"/>
      <c r="AD181" s="313" t="str">
        <f t="shared" si="10"/>
        <v/>
      </c>
      <c r="AE181" s="362"/>
      <c r="AF181" s="362"/>
      <c r="AG181" s="362"/>
      <c r="AH181" s="306"/>
      <c r="AI181" s="307"/>
    </row>
    <row r="182" spans="1:35">
      <c r="A182" s="35" t="str">
        <f t="shared" si="7"/>
        <v/>
      </c>
      <c r="B182" s="65" t="str">
        <f t="shared" si="8"/>
        <v/>
      </c>
      <c r="C182" s="112"/>
      <c r="D182" s="303">
        <v>170</v>
      </c>
      <c r="E182" s="304"/>
      <c r="F182" s="304" t="str">
        <f>IF('Sign-On'!H180="","",'Sign-On'!H180)</f>
        <v/>
      </c>
      <c r="G182" s="304"/>
      <c r="H182" s="304"/>
      <c r="I182" s="363" t="str">
        <f>IF('Sign-On'!B180="","",'Sign-On'!B180)</f>
        <v/>
      </c>
      <c r="J182" s="363"/>
      <c r="K182" s="363"/>
      <c r="L182" s="363"/>
      <c r="M182" s="363"/>
      <c r="N182" s="363"/>
      <c r="O182" s="363"/>
      <c r="P182" s="363"/>
      <c r="Q182" s="363" t="str">
        <f>IF('Sign-On'!D180="","",'Sign-On'!D180)</f>
        <v/>
      </c>
      <c r="R182" s="363"/>
      <c r="S182" s="363"/>
      <c r="T182" s="363"/>
      <c r="U182" s="363"/>
      <c r="V182" s="363"/>
      <c r="W182" s="363"/>
      <c r="X182" s="363"/>
      <c r="Y182" s="304" t="str">
        <f>IF('Sign-On'!F180="","",'Sign-On'!F180)</f>
        <v/>
      </c>
      <c r="Z182" s="304"/>
      <c r="AA182" s="258"/>
      <c r="AB182" s="258"/>
      <c r="AC182" s="258"/>
      <c r="AD182" s="305" t="str">
        <f t="shared" si="10"/>
        <v/>
      </c>
      <c r="AE182" s="363"/>
      <c r="AF182" s="363"/>
      <c r="AG182" s="363"/>
      <c r="AH182" s="306"/>
      <c r="AI182" s="307"/>
    </row>
    <row r="183" spans="1:35">
      <c r="A183" s="35" t="str">
        <f t="shared" si="7"/>
        <v/>
      </c>
      <c r="B183" s="65" t="str">
        <f t="shared" ref="B183:B212" si="11">IF(AD183="","",AD183 + 0.000000001 * ROW())</f>
        <v/>
      </c>
      <c r="D183" s="303">
        <v>171</v>
      </c>
      <c r="E183" s="304"/>
      <c r="F183" s="304" t="str">
        <f>IF('Sign-On'!H181="","",'Sign-On'!H181)</f>
        <v/>
      </c>
      <c r="G183" s="304"/>
      <c r="H183" s="304"/>
      <c r="I183" s="363" t="str">
        <f>IF('Sign-On'!B181="","",'Sign-On'!B181)</f>
        <v/>
      </c>
      <c r="J183" s="363"/>
      <c r="K183" s="363"/>
      <c r="L183" s="363"/>
      <c r="M183" s="363"/>
      <c r="N183" s="363"/>
      <c r="O183" s="363"/>
      <c r="P183" s="363"/>
      <c r="Q183" s="363" t="str">
        <f>IF('Sign-On'!D181="","",'Sign-On'!D181)</f>
        <v/>
      </c>
      <c r="R183" s="363"/>
      <c r="S183" s="363"/>
      <c r="T183" s="363"/>
      <c r="U183" s="363"/>
      <c r="V183" s="363"/>
      <c r="W183" s="363"/>
      <c r="X183" s="363"/>
      <c r="Y183" s="304" t="str">
        <f>IF('Sign-On'!F181="","",'Sign-On'!F181)</f>
        <v/>
      </c>
      <c r="Z183" s="304"/>
      <c r="AA183" s="258"/>
      <c r="AB183" s="258"/>
      <c r="AC183" s="258"/>
      <c r="AD183" s="305" t="str">
        <f t="shared" ref="AD183:AD196" si="12">IF(AB183="","",IF(OR(AB183&gt;59,AC183&gt;59),"ERROR",((AA183*3600)+(AB183*60)+AC183)/86400))</f>
        <v/>
      </c>
      <c r="AE183" s="363"/>
      <c r="AF183" s="363"/>
      <c r="AG183" s="363"/>
      <c r="AH183" s="306"/>
      <c r="AI183" s="307"/>
    </row>
    <row r="184" spans="1:35">
      <c r="A184" s="35" t="str">
        <f t="shared" si="7"/>
        <v/>
      </c>
      <c r="B184" s="65" t="str">
        <f t="shared" si="11"/>
        <v/>
      </c>
      <c r="D184" s="303">
        <v>172</v>
      </c>
      <c r="E184" s="304"/>
      <c r="F184" s="304" t="str">
        <f>IF('Sign-On'!H182="","",'Sign-On'!H182)</f>
        <v/>
      </c>
      <c r="G184" s="304"/>
      <c r="H184" s="304"/>
      <c r="I184" s="363" t="str">
        <f>IF('Sign-On'!B182="","",'Sign-On'!B182)</f>
        <v/>
      </c>
      <c r="J184" s="363"/>
      <c r="K184" s="363"/>
      <c r="L184" s="363"/>
      <c r="M184" s="363"/>
      <c r="N184" s="363"/>
      <c r="O184" s="363"/>
      <c r="P184" s="363"/>
      <c r="Q184" s="363" t="str">
        <f>IF('Sign-On'!D182="","",'Sign-On'!D182)</f>
        <v/>
      </c>
      <c r="R184" s="363"/>
      <c r="S184" s="363"/>
      <c r="T184" s="363"/>
      <c r="U184" s="363"/>
      <c r="V184" s="363"/>
      <c r="W184" s="363"/>
      <c r="X184" s="363"/>
      <c r="Y184" s="304" t="str">
        <f>IF('Sign-On'!F182="","",'Sign-On'!F182)</f>
        <v/>
      </c>
      <c r="Z184" s="304"/>
      <c r="AA184" s="258"/>
      <c r="AB184" s="258"/>
      <c r="AC184" s="258"/>
      <c r="AD184" s="305" t="str">
        <f t="shared" si="12"/>
        <v/>
      </c>
      <c r="AE184" s="363"/>
      <c r="AF184" s="363"/>
      <c r="AG184" s="363"/>
      <c r="AH184" s="306"/>
      <c r="AI184" s="307"/>
    </row>
    <row r="185" spans="1:35">
      <c r="A185" s="35" t="str">
        <f t="shared" si="7"/>
        <v/>
      </c>
      <c r="B185" s="65" t="str">
        <f t="shared" si="11"/>
        <v/>
      </c>
      <c r="D185" s="303">
        <v>173</v>
      </c>
      <c r="E185" s="304"/>
      <c r="F185" s="304" t="str">
        <f>IF('Sign-On'!H183="","",'Sign-On'!H183)</f>
        <v/>
      </c>
      <c r="G185" s="304"/>
      <c r="H185" s="304"/>
      <c r="I185" s="363" t="str">
        <f>IF('Sign-On'!B183="","",'Sign-On'!B183)</f>
        <v/>
      </c>
      <c r="J185" s="363"/>
      <c r="K185" s="363"/>
      <c r="L185" s="363"/>
      <c r="M185" s="363"/>
      <c r="N185" s="363"/>
      <c r="O185" s="363"/>
      <c r="P185" s="363"/>
      <c r="Q185" s="363" t="str">
        <f>IF('Sign-On'!D183="","",'Sign-On'!D183)</f>
        <v/>
      </c>
      <c r="R185" s="363"/>
      <c r="S185" s="363"/>
      <c r="T185" s="363"/>
      <c r="U185" s="363"/>
      <c r="V185" s="363"/>
      <c r="W185" s="363"/>
      <c r="X185" s="363"/>
      <c r="Y185" s="304" t="str">
        <f>IF('Sign-On'!F183="","",'Sign-On'!F183)</f>
        <v/>
      </c>
      <c r="Z185" s="304"/>
      <c r="AA185" s="258"/>
      <c r="AB185" s="258"/>
      <c r="AC185" s="258"/>
      <c r="AD185" s="305" t="str">
        <f t="shared" si="12"/>
        <v/>
      </c>
      <c r="AE185" s="363"/>
      <c r="AF185" s="363"/>
      <c r="AG185" s="363"/>
      <c r="AH185" s="306"/>
      <c r="AI185" s="307"/>
    </row>
    <row r="186" spans="1:35">
      <c r="A186" s="35" t="str">
        <f t="shared" si="7"/>
        <v/>
      </c>
      <c r="B186" s="65" t="str">
        <f t="shared" si="11"/>
        <v/>
      </c>
      <c r="D186" s="303">
        <v>174</v>
      </c>
      <c r="E186" s="304"/>
      <c r="F186" s="304" t="str">
        <f>IF('Sign-On'!H184="","",'Sign-On'!H184)</f>
        <v/>
      </c>
      <c r="G186" s="304"/>
      <c r="H186" s="304"/>
      <c r="I186" s="363" t="str">
        <f>IF('Sign-On'!B184="","",'Sign-On'!B184)</f>
        <v/>
      </c>
      <c r="J186" s="363"/>
      <c r="K186" s="363"/>
      <c r="L186" s="363"/>
      <c r="M186" s="363"/>
      <c r="N186" s="363"/>
      <c r="O186" s="363"/>
      <c r="P186" s="363"/>
      <c r="Q186" s="363" t="str">
        <f>IF('Sign-On'!D184="","",'Sign-On'!D184)</f>
        <v/>
      </c>
      <c r="R186" s="363"/>
      <c r="S186" s="363"/>
      <c r="T186" s="363"/>
      <c r="U186" s="363"/>
      <c r="V186" s="363"/>
      <c r="W186" s="363"/>
      <c r="X186" s="363"/>
      <c r="Y186" s="304" t="str">
        <f>IF('Sign-On'!F184="","",'Sign-On'!F184)</f>
        <v/>
      </c>
      <c r="Z186" s="304"/>
      <c r="AA186" s="258"/>
      <c r="AB186" s="258"/>
      <c r="AC186" s="258"/>
      <c r="AD186" s="305" t="str">
        <f t="shared" si="12"/>
        <v/>
      </c>
      <c r="AE186" s="363"/>
      <c r="AF186" s="363"/>
      <c r="AG186" s="363"/>
      <c r="AH186" s="306"/>
      <c r="AI186" s="307"/>
    </row>
    <row r="187" spans="1:35">
      <c r="A187" s="35" t="str">
        <f t="shared" si="7"/>
        <v/>
      </c>
      <c r="B187" s="65" t="str">
        <f t="shared" si="11"/>
        <v/>
      </c>
      <c r="D187" s="303">
        <v>175</v>
      </c>
      <c r="E187" s="304"/>
      <c r="F187" s="304" t="str">
        <f>IF('Sign-On'!H185="","",'Sign-On'!H185)</f>
        <v/>
      </c>
      <c r="G187" s="304"/>
      <c r="H187" s="304"/>
      <c r="I187" s="363" t="str">
        <f>IF('Sign-On'!B185="","",'Sign-On'!B185)</f>
        <v/>
      </c>
      <c r="J187" s="363"/>
      <c r="K187" s="363"/>
      <c r="L187" s="363"/>
      <c r="M187" s="363"/>
      <c r="N187" s="363"/>
      <c r="O187" s="363"/>
      <c r="P187" s="363"/>
      <c r="Q187" s="363" t="str">
        <f>IF('Sign-On'!D185="","",'Sign-On'!D185)</f>
        <v/>
      </c>
      <c r="R187" s="363"/>
      <c r="S187" s="363"/>
      <c r="T187" s="363"/>
      <c r="U187" s="363"/>
      <c r="V187" s="363"/>
      <c r="W187" s="363"/>
      <c r="X187" s="363"/>
      <c r="Y187" s="304" t="str">
        <f>IF('Sign-On'!F185="","",'Sign-On'!F185)</f>
        <v/>
      </c>
      <c r="Z187" s="304"/>
      <c r="AA187" s="258"/>
      <c r="AB187" s="258"/>
      <c r="AC187" s="258"/>
      <c r="AD187" s="305" t="str">
        <f t="shared" si="12"/>
        <v/>
      </c>
      <c r="AE187" s="363"/>
      <c r="AF187" s="363"/>
      <c r="AG187" s="363"/>
      <c r="AH187" s="306"/>
      <c r="AI187" s="307"/>
    </row>
    <row r="188" spans="1:35">
      <c r="A188" s="35" t="str">
        <f t="shared" si="7"/>
        <v/>
      </c>
      <c r="B188" s="65" t="str">
        <f t="shared" si="11"/>
        <v/>
      </c>
      <c r="D188" s="303">
        <v>176</v>
      </c>
      <c r="E188" s="304"/>
      <c r="F188" s="304" t="str">
        <f>IF('Sign-On'!H186="","",'Sign-On'!H186)</f>
        <v/>
      </c>
      <c r="G188" s="304"/>
      <c r="H188" s="304"/>
      <c r="I188" s="363" t="str">
        <f>IF('Sign-On'!B186="","",'Sign-On'!B186)</f>
        <v/>
      </c>
      <c r="J188" s="363"/>
      <c r="K188" s="363"/>
      <c r="L188" s="363"/>
      <c r="M188" s="363"/>
      <c r="N188" s="363"/>
      <c r="O188" s="363"/>
      <c r="P188" s="363"/>
      <c r="Q188" s="363" t="str">
        <f>IF('Sign-On'!D186="","",'Sign-On'!D186)</f>
        <v/>
      </c>
      <c r="R188" s="363"/>
      <c r="S188" s="363"/>
      <c r="T188" s="363"/>
      <c r="U188" s="363"/>
      <c r="V188" s="363"/>
      <c r="W188" s="363"/>
      <c r="X188" s="363"/>
      <c r="Y188" s="304" t="str">
        <f>IF('Sign-On'!F186="","",'Sign-On'!F186)</f>
        <v/>
      </c>
      <c r="Z188" s="304"/>
      <c r="AA188" s="258"/>
      <c r="AB188" s="258"/>
      <c r="AC188" s="258"/>
      <c r="AD188" s="305" t="str">
        <f t="shared" si="12"/>
        <v/>
      </c>
      <c r="AE188" s="363"/>
      <c r="AF188" s="363"/>
      <c r="AG188" s="363"/>
      <c r="AH188" s="306"/>
      <c r="AI188" s="307"/>
    </row>
    <row r="189" spans="1:35">
      <c r="A189" s="35" t="str">
        <f t="shared" si="7"/>
        <v/>
      </c>
      <c r="B189" s="65" t="str">
        <f t="shared" si="11"/>
        <v/>
      </c>
      <c r="D189" s="303">
        <v>177</v>
      </c>
      <c r="E189" s="304"/>
      <c r="F189" s="304" t="str">
        <f>IF('Sign-On'!H187="","",'Sign-On'!H187)</f>
        <v/>
      </c>
      <c r="G189" s="304"/>
      <c r="H189" s="304"/>
      <c r="I189" s="363" t="str">
        <f>IF('Sign-On'!B187="","",'Sign-On'!B187)</f>
        <v/>
      </c>
      <c r="J189" s="363"/>
      <c r="K189" s="363"/>
      <c r="L189" s="363"/>
      <c r="M189" s="363"/>
      <c r="N189" s="363"/>
      <c r="O189" s="363"/>
      <c r="P189" s="363"/>
      <c r="Q189" s="363" t="str">
        <f>IF('Sign-On'!D187="","",'Sign-On'!D187)</f>
        <v/>
      </c>
      <c r="R189" s="363"/>
      <c r="S189" s="363"/>
      <c r="T189" s="363"/>
      <c r="U189" s="363"/>
      <c r="V189" s="363"/>
      <c r="W189" s="363"/>
      <c r="X189" s="363"/>
      <c r="Y189" s="304" t="str">
        <f>IF('Sign-On'!F187="","",'Sign-On'!F187)</f>
        <v/>
      </c>
      <c r="Z189" s="304"/>
      <c r="AA189" s="258"/>
      <c r="AB189" s="258"/>
      <c r="AC189" s="258"/>
      <c r="AD189" s="305" t="str">
        <f t="shared" si="12"/>
        <v/>
      </c>
      <c r="AE189" s="363"/>
      <c r="AF189" s="363"/>
      <c r="AG189" s="363"/>
      <c r="AH189" s="306"/>
      <c r="AI189" s="307"/>
    </row>
    <row r="190" spans="1:35">
      <c r="A190" s="35" t="str">
        <f t="shared" si="7"/>
        <v/>
      </c>
      <c r="B190" s="65" t="str">
        <f t="shared" si="11"/>
        <v/>
      </c>
      <c r="D190" s="303">
        <v>178</v>
      </c>
      <c r="E190" s="304"/>
      <c r="F190" s="304" t="str">
        <f>IF('Sign-On'!H188="","",'Sign-On'!H188)</f>
        <v/>
      </c>
      <c r="G190" s="304"/>
      <c r="H190" s="304"/>
      <c r="I190" s="363" t="str">
        <f>IF('Sign-On'!B188="","",'Sign-On'!B188)</f>
        <v/>
      </c>
      <c r="J190" s="363"/>
      <c r="K190" s="363"/>
      <c r="L190" s="363"/>
      <c r="M190" s="363"/>
      <c r="N190" s="363"/>
      <c r="O190" s="363"/>
      <c r="P190" s="363"/>
      <c r="Q190" s="363" t="str">
        <f>IF('Sign-On'!D188="","",'Sign-On'!D188)</f>
        <v/>
      </c>
      <c r="R190" s="363"/>
      <c r="S190" s="363"/>
      <c r="T190" s="363"/>
      <c r="U190" s="363"/>
      <c r="V190" s="363"/>
      <c r="W190" s="363"/>
      <c r="X190" s="363"/>
      <c r="Y190" s="304" t="str">
        <f>IF('Sign-On'!F188="","",'Sign-On'!F188)</f>
        <v/>
      </c>
      <c r="Z190" s="304"/>
      <c r="AA190" s="258"/>
      <c r="AB190" s="258"/>
      <c r="AC190" s="258"/>
      <c r="AD190" s="305" t="str">
        <f t="shared" si="12"/>
        <v/>
      </c>
      <c r="AE190" s="363"/>
      <c r="AF190" s="363"/>
      <c r="AG190" s="363"/>
      <c r="AH190" s="306"/>
      <c r="AI190" s="307"/>
    </row>
    <row r="191" spans="1:35">
      <c r="A191" s="35" t="str">
        <f t="shared" si="7"/>
        <v/>
      </c>
      <c r="B191" s="65" t="str">
        <f t="shared" si="11"/>
        <v/>
      </c>
      <c r="D191" s="303">
        <v>179</v>
      </c>
      <c r="E191" s="304"/>
      <c r="F191" s="304" t="str">
        <f>IF('Sign-On'!H189="","",'Sign-On'!H189)</f>
        <v/>
      </c>
      <c r="G191" s="304"/>
      <c r="H191" s="304"/>
      <c r="I191" s="363" t="str">
        <f>IF('Sign-On'!B189="","",'Sign-On'!B189)</f>
        <v/>
      </c>
      <c r="J191" s="363"/>
      <c r="K191" s="363"/>
      <c r="L191" s="363"/>
      <c r="M191" s="363"/>
      <c r="N191" s="363"/>
      <c r="O191" s="363"/>
      <c r="P191" s="363"/>
      <c r="Q191" s="363" t="str">
        <f>IF('Sign-On'!D189="","",'Sign-On'!D189)</f>
        <v/>
      </c>
      <c r="R191" s="363"/>
      <c r="S191" s="363"/>
      <c r="T191" s="363"/>
      <c r="U191" s="363"/>
      <c r="V191" s="363"/>
      <c r="W191" s="363"/>
      <c r="X191" s="363"/>
      <c r="Y191" s="304" t="str">
        <f>IF('Sign-On'!F189="","",'Sign-On'!F189)</f>
        <v/>
      </c>
      <c r="Z191" s="304"/>
      <c r="AA191" s="258"/>
      <c r="AB191" s="258"/>
      <c r="AC191" s="258"/>
      <c r="AD191" s="305" t="str">
        <f t="shared" si="12"/>
        <v/>
      </c>
      <c r="AE191" s="363"/>
      <c r="AF191" s="363"/>
      <c r="AG191" s="363"/>
      <c r="AH191" s="306"/>
      <c r="AI191" s="307"/>
    </row>
    <row r="192" spans="1:35">
      <c r="A192" s="35" t="str">
        <f t="shared" si="7"/>
        <v/>
      </c>
      <c r="B192" s="65" t="str">
        <f t="shared" si="11"/>
        <v/>
      </c>
      <c r="D192" s="303">
        <v>180</v>
      </c>
      <c r="E192" s="304"/>
      <c r="F192" s="304" t="str">
        <f>IF('Sign-On'!H190="","",'Sign-On'!H190)</f>
        <v/>
      </c>
      <c r="G192" s="304"/>
      <c r="H192" s="304"/>
      <c r="I192" s="363" t="str">
        <f>IF('Sign-On'!B190="","",'Sign-On'!B190)</f>
        <v/>
      </c>
      <c r="J192" s="363"/>
      <c r="K192" s="363"/>
      <c r="L192" s="363"/>
      <c r="M192" s="363"/>
      <c r="N192" s="363"/>
      <c r="O192" s="363"/>
      <c r="P192" s="363"/>
      <c r="Q192" s="363" t="str">
        <f>IF('Sign-On'!D190="","",'Sign-On'!D190)</f>
        <v/>
      </c>
      <c r="R192" s="363"/>
      <c r="S192" s="363"/>
      <c r="T192" s="363"/>
      <c r="U192" s="363"/>
      <c r="V192" s="363"/>
      <c r="W192" s="363"/>
      <c r="X192" s="363"/>
      <c r="Y192" s="304" t="str">
        <f>IF('Sign-On'!F190="","",'Sign-On'!F190)</f>
        <v/>
      </c>
      <c r="Z192" s="304"/>
      <c r="AA192" s="258"/>
      <c r="AB192" s="258"/>
      <c r="AC192" s="258"/>
      <c r="AD192" s="305" t="str">
        <f t="shared" si="12"/>
        <v/>
      </c>
      <c r="AE192" s="363"/>
      <c r="AF192" s="363"/>
      <c r="AG192" s="363"/>
      <c r="AH192" s="306"/>
      <c r="AI192" s="307"/>
    </row>
    <row r="193" spans="1:35">
      <c r="A193" s="35" t="str">
        <f t="shared" si="7"/>
        <v/>
      </c>
      <c r="B193" s="65" t="str">
        <f t="shared" si="11"/>
        <v/>
      </c>
      <c r="D193" s="303">
        <v>181</v>
      </c>
      <c r="E193" s="304"/>
      <c r="F193" s="304" t="str">
        <f>IF('Sign-On'!H191="","",'Sign-On'!H191)</f>
        <v/>
      </c>
      <c r="G193" s="304"/>
      <c r="H193" s="304"/>
      <c r="I193" s="363" t="str">
        <f>IF('Sign-On'!B191="","",'Sign-On'!B191)</f>
        <v/>
      </c>
      <c r="J193" s="363"/>
      <c r="K193" s="363"/>
      <c r="L193" s="363"/>
      <c r="M193" s="363"/>
      <c r="N193" s="363"/>
      <c r="O193" s="363"/>
      <c r="P193" s="363"/>
      <c r="Q193" s="363" t="str">
        <f>IF('Sign-On'!D191="","",'Sign-On'!D191)</f>
        <v/>
      </c>
      <c r="R193" s="363"/>
      <c r="S193" s="363"/>
      <c r="T193" s="363"/>
      <c r="U193" s="363"/>
      <c r="V193" s="363"/>
      <c r="W193" s="363"/>
      <c r="X193" s="363"/>
      <c r="Y193" s="304" t="str">
        <f>IF('Sign-On'!F191="","",'Sign-On'!F191)</f>
        <v/>
      </c>
      <c r="Z193" s="304"/>
      <c r="AA193" s="258"/>
      <c r="AB193" s="258"/>
      <c r="AC193" s="258"/>
      <c r="AD193" s="305" t="str">
        <f t="shared" si="12"/>
        <v/>
      </c>
      <c r="AE193" s="363"/>
      <c r="AF193" s="363"/>
      <c r="AG193" s="363"/>
      <c r="AH193" s="306"/>
      <c r="AI193" s="307"/>
    </row>
    <row r="194" spans="1:35">
      <c r="A194" s="35" t="str">
        <f t="shared" si="7"/>
        <v/>
      </c>
      <c r="B194" s="65" t="str">
        <f t="shared" si="11"/>
        <v/>
      </c>
      <c r="D194" s="303">
        <v>182</v>
      </c>
      <c r="E194" s="304"/>
      <c r="F194" s="304" t="str">
        <f>IF('Sign-On'!H192="","",'Sign-On'!H192)</f>
        <v/>
      </c>
      <c r="G194" s="304"/>
      <c r="H194" s="304"/>
      <c r="I194" s="363" t="str">
        <f>IF('Sign-On'!B192="","",'Sign-On'!B192)</f>
        <v/>
      </c>
      <c r="J194" s="363"/>
      <c r="K194" s="363"/>
      <c r="L194" s="363"/>
      <c r="M194" s="363"/>
      <c r="N194" s="363"/>
      <c r="O194" s="363"/>
      <c r="P194" s="363"/>
      <c r="Q194" s="363" t="str">
        <f>IF('Sign-On'!D192="","",'Sign-On'!D192)</f>
        <v/>
      </c>
      <c r="R194" s="363"/>
      <c r="S194" s="363"/>
      <c r="T194" s="363"/>
      <c r="U194" s="363"/>
      <c r="V194" s="363"/>
      <c r="W194" s="363"/>
      <c r="X194" s="363"/>
      <c r="Y194" s="304" t="str">
        <f>IF('Sign-On'!F192="","",'Sign-On'!F192)</f>
        <v/>
      </c>
      <c r="Z194" s="304"/>
      <c r="AA194" s="258"/>
      <c r="AB194" s="258"/>
      <c r="AC194" s="258"/>
      <c r="AD194" s="305" t="str">
        <f t="shared" si="12"/>
        <v/>
      </c>
      <c r="AE194" s="363"/>
      <c r="AF194" s="363"/>
      <c r="AG194" s="363"/>
      <c r="AH194" s="306"/>
      <c r="AI194" s="307"/>
    </row>
    <row r="195" spans="1:35">
      <c r="A195" s="35" t="str">
        <f t="shared" si="7"/>
        <v/>
      </c>
      <c r="B195" s="65" t="str">
        <f t="shared" si="11"/>
        <v/>
      </c>
      <c r="D195" s="303">
        <v>183</v>
      </c>
      <c r="E195" s="304"/>
      <c r="F195" s="304" t="str">
        <f>IF('Sign-On'!H193="","",'Sign-On'!H193)</f>
        <v/>
      </c>
      <c r="G195" s="304"/>
      <c r="H195" s="304"/>
      <c r="I195" s="363" t="str">
        <f>IF('Sign-On'!B193="","",'Sign-On'!B193)</f>
        <v/>
      </c>
      <c r="J195" s="363"/>
      <c r="K195" s="363"/>
      <c r="L195" s="363"/>
      <c r="M195" s="363"/>
      <c r="N195" s="363"/>
      <c r="O195" s="363"/>
      <c r="P195" s="363"/>
      <c r="Q195" s="363" t="str">
        <f>IF('Sign-On'!D193="","",'Sign-On'!D193)</f>
        <v/>
      </c>
      <c r="R195" s="363"/>
      <c r="S195" s="363"/>
      <c r="T195" s="363"/>
      <c r="U195" s="363"/>
      <c r="V195" s="363"/>
      <c r="W195" s="363"/>
      <c r="X195" s="363"/>
      <c r="Y195" s="304" t="str">
        <f>IF('Sign-On'!F193="","",'Sign-On'!F193)</f>
        <v/>
      </c>
      <c r="Z195" s="304"/>
      <c r="AA195" s="258"/>
      <c r="AB195" s="258"/>
      <c r="AC195" s="258"/>
      <c r="AD195" s="305" t="str">
        <f t="shared" si="12"/>
        <v/>
      </c>
      <c r="AE195" s="363"/>
      <c r="AF195" s="363"/>
      <c r="AG195" s="363"/>
      <c r="AH195" s="306"/>
      <c r="AI195" s="307"/>
    </row>
    <row r="196" spans="1:35">
      <c r="A196" s="35" t="str">
        <f t="shared" si="7"/>
        <v/>
      </c>
      <c r="B196" s="65" t="str">
        <f t="shared" si="11"/>
        <v/>
      </c>
      <c r="D196" s="303">
        <v>184</v>
      </c>
      <c r="E196" s="304"/>
      <c r="F196" s="304" t="str">
        <f>IF('Sign-On'!H194="","",'Sign-On'!H194)</f>
        <v/>
      </c>
      <c r="G196" s="304"/>
      <c r="H196" s="304"/>
      <c r="I196" s="363" t="str">
        <f>IF('Sign-On'!B194="","",'Sign-On'!B194)</f>
        <v/>
      </c>
      <c r="J196" s="363"/>
      <c r="K196" s="363"/>
      <c r="L196" s="363"/>
      <c r="M196" s="363"/>
      <c r="N196" s="363"/>
      <c r="O196" s="363"/>
      <c r="P196" s="363"/>
      <c r="Q196" s="363" t="str">
        <f>IF('Sign-On'!D194="","",'Sign-On'!D194)</f>
        <v/>
      </c>
      <c r="R196" s="363"/>
      <c r="S196" s="363"/>
      <c r="T196" s="363"/>
      <c r="U196" s="363"/>
      <c r="V196" s="363"/>
      <c r="W196" s="363"/>
      <c r="X196" s="363"/>
      <c r="Y196" s="304" t="str">
        <f>IF('Sign-On'!F194="","",'Sign-On'!F194)</f>
        <v/>
      </c>
      <c r="Z196" s="304"/>
      <c r="AA196" s="258"/>
      <c r="AB196" s="258"/>
      <c r="AC196" s="258"/>
      <c r="AD196" s="305" t="str">
        <f t="shared" si="12"/>
        <v/>
      </c>
      <c r="AE196" s="363"/>
      <c r="AF196" s="363"/>
      <c r="AG196" s="363"/>
      <c r="AH196" s="306"/>
      <c r="AI196" s="307"/>
    </row>
    <row r="197" spans="1:35">
      <c r="A197" s="35" t="str">
        <f t="shared" si="7"/>
        <v/>
      </c>
      <c r="B197" s="65" t="str">
        <f t="shared" si="11"/>
        <v/>
      </c>
      <c r="D197" s="303">
        <v>185</v>
      </c>
      <c r="E197" s="304"/>
      <c r="F197" s="304" t="str">
        <f>IF('Sign-On'!H195="","",'Sign-On'!H195)</f>
        <v/>
      </c>
      <c r="G197" s="304"/>
      <c r="H197" s="304"/>
      <c r="I197" s="363" t="str">
        <f>IF('Sign-On'!B195="","",'Sign-On'!B195)</f>
        <v/>
      </c>
      <c r="J197" s="363"/>
      <c r="K197" s="363"/>
      <c r="L197" s="363"/>
      <c r="M197" s="363"/>
      <c r="N197" s="363"/>
      <c r="O197" s="363"/>
      <c r="P197" s="363"/>
      <c r="Q197" s="363" t="str">
        <f>IF('Sign-On'!D195="","",'Sign-On'!D195)</f>
        <v/>
      </c>
      <c r="R197" s="363"/>
      <c r="S197" s="363"/>
      <c r="T197" s="363"/>
      <c r="U197" s="363"/>
      <c r="V197" s="363"/>
      <c r="W197" s="363"/>
      <c r="X197" s="363"/>
      <c r="Y197" s="304" t="str">
        <f>IF('Sign-On'!F195="","",'Sign-On'!F195)</f>
        <v/>
      </c>
      <c r="Z197" s="304"/>
      <c r="AA197" s="258"/>
      <c r="AB197" s="258"/>
      <c r="AC197" s="258"/>
      <c r="AD197" s="305" t="str">
        <f t="shared" ref="AD197:AD209" si="13">IF(AB197="","",IF(OR(AB197&gt;59,AC197&gt;59),"ERROR",((AA197*3600)+(AB197*60)+AC197)/86400))</f>
        <v/>
      </c>
      <c r="AE197" s="363"/>
      <c r="AF197" s="363"/>
      <c r="AG197" s="363"/>
      <c r="AH197" s="306"/>
      <c r="AI197" s="307"/>
    </row>
    <row r="198" spans="1:35">
      <c r="A198" s="35" t="str">
        <f t="shared" si="7"/>
        <v/>
      </c>
      <c r="B198" s="65" t="str">
        <f t="shared" si="11"/>
        <v/>
      </c>
      <c r="D198" s="303">
        <v>186</v>
      </c>
      <c r="E198" s="304"/>
      <c r="F198" s="304" t="str">
        <f>IF('Sign-On'!H196="","",'Sign-On'!H196)</f>
        <v/>
      </c>
      <c r="G198" s="304"/>
      <c r="H198" s="304"/>
      <c r="I198" s="363" t="str">
        <f>IF('Sign-On'!B196="","",'Sign-On'!B196)</f>
        <v/>
      </c>
      <c r="J198" s="363"/>
      <c r="K198" s="363"/>
      <c r="L198" s="363"/>
      <c r="M198" s="363"/>
      <c r="N198" s="363"/>
      <c r="O198" s="363"/>
      <c r="P198" s="363"/>
      <c r="Q198" s="363" t="str">
        <f>IF('Sign-On'!D196="","",'Sign-On'!D196)</f>
        <v/>
      </c>
      <c r="R198" s="363"/>
      <c r="S198" s="363"/>
      <c r="T198" s="363"/>
      <c r="U198" s="363"/>
      <c r="V198" s="363"/>
      <c r="W198" s="363"/>
      <c r="X198" s="363"/>
      <c r="Y198" s="304" t="str">
        <f>IF('Sign-On'!F196="","",'Sign-On'!F196)</f>
        <v/>
      </c>
      <c r="Z198" s="304"/>
      <c r="AA198" s="258"/>
      <c r="AB198" s="258"/>
      <c r="AC198" s="258"/>
      <c r="AD198" s="305" t="str">
        <f t="shared" si="13"/>
        <v/>
      </c>
      <c r="AE198" s="363"/>
      <c r="AF198" s="363"/>
      <c r="AG198" s="363"/>
      <c r="AH198" s="306"/>
      <c r="AI198" s="307"/>
    </row>
    <row r="199" spans="1:35">
      <c r="A199" s="35" t="str">
        <f t="shared" si="7"/>
        <v/>
      </c>
      <c r="B199" s="65" t="str">
        <f t="shared" si="11"/>
        <v/>
      </c>
      <c r="D199" s="303">
        <v>187</v>
      </c>
      <c r="E199" s="304"/>
      <c r="F199" s="304" t="str">
        <f>IF('Sign-On'!H197="","",'Sign-On'!H197)</f>
        <v/>
      </c>
      <c r="G199" s="304"/>
      <c r="H199" s="304"/>
      <c r="I199" s="363" t="str">
        <f>IF('Sign-On'!B197="","",'Sign-On'!B197)</f>
        <v/>
      </c>
      <c r="J199" s="363"/>
      <c r="K199" s="363"/>
      <c r="L199" s="363"/>
      <c r="M199" s="363"/>
      <c r="N199" s="363"/>
      <c r="O199" s="363"/>
      <c r="P199" s="363"/>
      <c r="Q199" s="363" t="str">
        <f>IF('Sign-On'!D197="","",'Sign-On'!D197)</f>
        <v/>
      </c>
      <c r="R199" s="363"/>
      <c r="S199" s="363"/>
      <c r="T199" s="363"/>
      <c r="U199" s="363"/>
      <c r="V199" s="363"/>
      <c r="W199" s="363"/>
      <c r="X199" s="363"/>
      <c r="Y199" s="304" t="str">
        <f>IF('Sign-On'!F197="","",'Sign-On'!F197)</f>
        <v/>
      </c>
      <c r="Z199" s="304"/>
      <c r="AA199" s="258"/>
      <c r="AB199" s="258"/>
      <c r="AC199" s="258"/>
      <c r="AD199" s="305" t="str">
        <f t="shared" si="13"/>
        <v/>
      </c>
      <c r="AE199" s="363"/>
      <c r="AF199" s="363"/>
      <c r="AG199" s="363"/>
      <c r="AH199" s="306"/>
      <c r="AI199" s="307"/>
    </row>
    <row r="200" spans="1:35">
      <c r="A200" s="35" t="str">
        <f t="shared" si="7"/>
        <v/>
      </c>
      <c r="B200" s="65" t="str">
        <f t="shared" si="11"/>
        <v/>
      </c>
      <c r="D200" s="303">
        <v>188</v>
      </c>
      <c r="E200" s="304"/>
      <c r="F200" s="304" t="str">
        <f>IF('Sign-On'!H198="","",'Sign-On'!H198)</f>
        <v/>
      </c>
      <c r="G200" s="304"/>
      <c r="H200" s="304"/>
      <c r="I200" s="363" t="str">
        <f>IF('Sign-On'!B198="","",'Sign-On'!B198)</f>
        <v/>
      </c>
      <c r="J200" s="363"/>
      <c r="K200" s="363"/>
      <c r="L200" s="363"/>
      <c r="M200" s="363"/>
      <c r="N200" s="363"/>
      <c r="O200" s="363"/>
      <c r="P200" s="363"/>
      <c r="Q200" s="363" t="str">
        <f>IF('Sign-On'!D198="","",'Sign-On'!D198)</f>
        <v/>
      </c>
      <c r="R200" s="363"/>
      <c r="S200" s="363"/>
      <c r="T200" s="363"/>
      <c r="U200" s="363"/>
      <c r="V200" s="363"/>
      <c r="W200" s="363"/>
      <c r="X200" s="363"/>
      <c r="Y200" s="304" t="str">
        <f>IF('Sign-On'!F198="","",'Sign-On'!F198)</f>
        <v/>
      </c>
      <c r="Z200" s="304"/>
      <c r="AA200" s="258"/>
      <c r="AB200" s="258"/>
      <c r="AC200" s="258"/>
      <c r="AD200" s="305" t="str">
        <f t="shared" si="13"/>
        <v/>
      </c>
      <c r="AE200" s="363"/>
      <c r="AF200" s="363"/>
      <c r="AG200" s="363"/>
      <c r="AH200" s="306"/>
      <c r="AI200" s="307"/>
    </row>
    <row r="201" spans="1:35">
      <c r="A201" s="35" t="str">
        <f t="shared" si="7"/>
        <v/>
      </c>
      <c r="B201" s="65" t="str">
        <f t="shared" si="11"/>
        <v/>
      </c>
      <c r="D201" s="303">
        <v>189</v>
      </c>
      <c r="E201" s="304"/>
      <c r="F201" s="304" t="str">
        <f>IF('Sign-On'!H199="","",'Sign-On'!H199)</f>
        <v/>
      </c>
      <c r="G201" s="304"/>
      <c r="H201" s="304"/>
      <c r="I201" s="363" t="str">
        <f>IF('Sign-On'!B199="","",'Sign-On'!B199)</f>
        <v/>
      </c>
      <c r="J201" s="363"/>
      <c r="K201" s="363"/>
      <c r="L201" s="363"/>
      <c r="M201" s="363"/>
      <c r="N201" s="363"/>
      <c r="O201" s="363"/>
      <c r="P201" s="363"/>
      <c r="Q201" s="363" t="str">
        <f>IF('Sign-On'!D199="","",'Sign-On'!D199)</f>
        <v/>
      </c>
      <c r="R201" s="363"/>
      <c r="S201" s="363"/>
      <c r="T201" s="363"/>
      <c r="U201" s="363"/>
      <c r="V201" s="363"/>
      <c r="W201" s="363"/>
      <c r="X201" s="363"/>
      <c r="Y201" s="304" t="str">
        <f>IF('Sign-On'!F199="","",'Sign-On'!F199)</f>
        <v/>
      </c>
      <c r="Z201" s="304"/>
      <c r="AA201" s="258"/>
      <c r="AB201" s="258"/>
      <c r="AC201" s="258"/>
      <c r="AD201" s="305" t="str">
        <f t="shared" si="13"/>
        <v/>
      </c>
      <c r="AE201" s="363"/>
      <c r="AF201" s="363"/>
      <c r="AG201" s="363"/>
      <c r="AH201" s="306"/>
      <c r="AI201" s="307"/>
    </row>
    <row r="202" spans="1:35">
      <c r="A202" s="35" t="str">
        <f t="shared" si="7"/>
        <v/>
      </c>
      <c r="B202" s="65" t="str">
        <f t="shared" si="11"/>
        <v/>
      </c>
      <c r="D202" s="303">
        <v>190</v>
      </c>
      <c r="E202" s="304"/>
      <c r="F202" s="304" t="str">
        <f>IF('Sign-On'!H200="","",'Sign-On'!H200)</f>
        <v/>
      </c>
      <c r="G202" s="304"/>
      <c r="H202" s="304"/>
      <c r="I202" s="363" t="str">
        <f>IF('Sign-On'!B200="","",'Sign-On'!B200)</f>
        <v/>
      </c>
      <c r="J202" s="363"/>
      <c r="K202" s="363"/>
      <c r="L202" s="363"/>
      <c r="M202" s="363"/>
      <c r="N202" s="363"/>
      <c r="O202" s="363"/>
      <c r="P202" s="363"/>
      <c r="Q202" s="363" t="str">
        <f>IF('Sign-On'!D200="","",'Sign-On'!D200)</f>
        <v/>
      </c>
      <c r="R202" s="363"/>
      <c r="S202" s="363"/>
      <c r="T202" s="363"/>
      <c r="U202" s="363"/>
      <c r="V202" s="363"/>
      <c r="W202" s="363"/>
      <c r="X202" s="363"/>
      <c r="Y202" s="304" t="str">
        <f>IF('Sign-On'!F200="","",'Sign-On'!F200)</f>
        <v/>
      </c>
      <c r="Z202" s="304"/>
      <c r="AA202" s="258"/>
      <c r="AB202" s="258"/>
      <c r="AC202" s="258"/>
      <c r="AD202" s="305" t="str">
        <f t="shared" si="13"/>
        <v/>
      </c>
      <c r="AE202" s="363"/>
      <c r="AF202" s="363"/>
      <c r="AG202" s="363"/>
      <c r="AH202" s="306"/>
      <c r="AI202" s="307"/>
    </row>
    <row r="203" spans="1:35">
      <c r="A203" s="35" t="str">
        <f t="shared" si="7"/>
        <v/>
      </c>
      <c r="B203" s="65" t="str">
        <f t="shared" si="11"/>
        <v/>
      </c>
      <c r="D203" s="303">
        <v>191</v>
      </c>
      <c r="E203" s="304"/>
      <c r="F203" s="304" t="str">
        <f>IF('Sign-On'!H201="","",'Sign-On'!H201)</f>
        <v/>
      </c>
      <c r="G203" s="304"/>
      <c r="H203" s="304"/>
      <c r="I203" s="363" t="str">
        <f>IF('Sign-On'!B201="","",'Sign-On'!B201)</f>
        <v/>
      </c>
      <c r="J203" s="363"/>
      <c r="K203" s="363"/>
      <c r="L203" s="363"/>
      <c r="M203" s="363"/>
      <c r="N203" s="363"/>
      <c r="O203" s="363"/>
      <c r="P203" s="363"/>
      <c r="Q203" s="363" t="str">
        <f>IF('Sign-On'!D201="","",'Sign-On'!D201)</f>
        <v/>
      </c>
      <c r="R203" s="363"/>
      <c r="S203" s="363"/>
      <c r="T203" s="363"/>
      <c r="U203" s="363"/>
      <c r="V203" s="363"/>
      <c r="W203" s="363"/>
      <c r="X203" s="363"/>
      <c r="Y203" s="304" t="str">
        <f>IF('Sign-On'!F201="","",'Sign-On'!F201)</f>
        <v/>
      </c>
      <c r="Z203" s="304"/>
      <c r="AA203" s="258"/>
      <c r="AB203" s="258"/>
      <c r="AC203" s="258"/>
      <c r="AD203" s="305" t="str">
        <f t="shared" si="13"/>
        <v/>
      </c>
      <c r="AE203" s="363"/>
      <c r="AF203" s="363"/>
      <c r="AG203" s="363"/>
      <c r="AH203" s="306"/>
      <c r="AI203" s="307"/>
    </row>
    <row r="204" spans="1:35">
      <c r="A204" s="35" t="str">
        <f t="shared" si="7"/>
        <v/>
      </c>
      <c r="B204" s="65" t="str">
        <f t="shared" si="11"/>
        <v/>
      </c>
      <c r="D204" s="303">
        <v>192</v>
      </c>
      <c r="E204" s="304"/>
      <c r="F204" s="304" t="str">
        <f>IF('Sign-On'!H202="","",'Sign-On'!H202)</f>
        <v/>
      </c>
      <c r="G204" s="304"/>
      <c r="H204" s="304"/>
      <c r="I204" s="363" t="str">
        <f>IF('Sign-On'!B202="","",'Sign-On'!B202)</f>
        <v/>
      </c>
      <c r="J204" s="363"/>
      <c r="K204" s="363"/>
      <c r="L204" s="363"/>
      <c r="M204" s="363"/>
      <c r="N204" s="363"/>
      <c r="O204" s="363"/>
      <c r="P204" s="363"/>
      <c r="Q204" s="363" t="str">
        <f>IF('Sign-On'!D202="","",'Sign-On'!D202)</f>
        <v/>
      </c>
      <c r="R204" s="363"/>
      <c r="S204" s="363"/>
      <c r="T204" s="363"/>
      <c r="U204" s="363"/>
      <c r="V204" s="363"/>
      <c r="W204" s="363"/>
      <c r="X204" s="363"/>
      <c r="Y204" s="304" t="str">
        <f>IF('Sign-On'!F202="","",'Sign-On'!F202)</f>
        <v/>
      </c>
      <c r="Z204" s="304"/>
      <c r="AA204" s="258"/>
      <c r="AB204" s="258"/>
      <c r="AC204" s="258"/>
      <c r="AD204" s="305" t="str">
        <f t="shared" si="13"/>
        <v/>
      </c>
      <c r="AE204" s="363"/>
      <c r="AF204" s="363"/>
      <c r="AG204" s="363"/>
      <c r="AH204" s="306"/>
      <c r="AI204" s="307"/>
    </row>
    <row r="205" spans="1:35">
      <c r="A205" s="35" t="str">
        <f t="shared" si="7"/>
        <v/>
      </c>
      <c r="B205" s="65" t="str">
        <f t="shared" si="11"/>
        <v/>
      </c>
      <c r="D205" s="303">
        <v>193</v>
      </c>
      <c r="E205" s="304"/>
      <c r="F205" s="304" t="str">
        <f>IF('Sign-On'!H203="","",'Sign-On'!H203)</f>
        <v/>
      </c>
      <c r="G205" s="304"/>
      <c r="H205" s="304"/>
      <c r="I205" s="363" t="str">
        <f>IF('Sign-On'!B203="","",'Sign-On'!B203)</f>
        <v/>
      </c>
      <c r="J205" s="363"/>
      <c r="K205" s="363"/>
      <c r="L205" s="363"/>
      <c r="M205" s="363"/>
      <c r="N205" s="363"/>
      <c r="O205" s="363"/>
      <c r="P205" s="363"/>
      <c r="Q205" s="363" t="str">
        <f>IF('Sign-On'!D203="","",'Sign-On'!D203)</f>
        <v/>
      </c>
      <c r="R205" s="363"/>
      <c r="S205" s="363"/>
      <c r="T205" s="363"/>
      <c r="U205" s="363"/>
      <c r="V205" s="363"/>
      <c r="W205" s="363"/>
      <c r="X205" s="363"/>
      <c r="Y205" s="304" t="str">
        <f>IF('Sign-On'!F203="","",'Sign-On'!F203)</f>
        <v/>
      </c>
      <c r="Z205" s="304"/>
      <c r="AA205" s="258"/>
      <c r="AB205" s="258"/>
      <c r="AC205" s="258"/>
      <c r="AD205" s="305" t="str">
        <f t="shared" si="13"/>
        <v/>
      </c>
      <c r="AE205" s="363"/>
      <c r="AF205" s="363"/>
      <c r="AG205" s="363"/>
      <c r="AH205" s="306"/>
      <c r="AI205" s="307"/>
    </row>
    <row r="206" spans="1:35">
      <c r="A206" s="35" t="str">
        <f t="shared" ref="A206:A212" si="14">IF(ISERROR(RANK(B206,$B$13:$B$212,1)),"",RANK(B206,$B$13:$B$212,1))</f>
        <v/>
      </c>
      <c r="B206" s="65" t="str">
        <f t="shared" si="11"/>
        <v/>
      </c>
      <c r="D206" s="303">
        <v>194</v>
      </c>
      <c r="E206" s="304"/>
      <c r="F206" s="304" t="str">
        <f>IF('Sign-On'!H204="","",'Sign-On'!H204)</f>
        <v/>
      </c>
      <c r="G206" s="304"/>
      <c r="H206" s="304"/>
      <c r="I206" s="363" t="str">
        <f>IF('Sign-On'!B204="","",'Sign-On'!B204)</f>
        <v/>
      </c>
      <c r="J206" s="363"/>
      <c r="K206" s="363"/>
      <c r="L206" s="363"/>
      <c r="M206" s="363"/>
      <c r="N206" s="363"/>
      <c r="O206" s="363"/>
      <c r="P206" s="363"/>
      <c r="Q206" s="363" t="str">
        <f>IF('Sign-On'!D204="","",'Sign-On'!D204)</f>
        <v/>
      </c>
      <c r="R206" s="363"/>
      <c r="S206" s="363"/>
      <c r="T206" s="363"/>
      <c r="U206" s="363"/>
      <c r="V206" s="363"/>
      <c r="W206" s="363"/>
      <c r="X206" s="363"/>
      <c r="Y206" s="304" t="str">
        <f>IF('Sign-On'!F204="","",'Sign-On'!F204)</f>
        <v/>
      </c>
      <c r="Z206" s="304"/>
      <c r="AA206" s="258"/>
      <c r="AB206" s="258"/>
      <c r="AC206" s="258"/>
      <c r="AD206" s="305" t="str">
        <f t="shared" si="13"/>
        <v/>
      </c>
      <c r="AE206" s="363"/>
      <c r="AF206" s="363"/>
      <c r="AG206" s="363"/>
      <c r="AH206" s="306"/>
      <c r="AI206" s="307"/>
    </row>
    <row r="207" spans="1:35">
      <c r="A207" s="35" t="str">
        <f t="shared" si="14"/>
        <v/>
      </c>
      <c r="B207" s="65" t="str">
        <f t="shared" si="11"/>
        <v/>
      </c>
      <c r="D207" s="303">
        <v>195</v>
      </c>
      <c r="E207" s="304"/>
      <c r="F207" s="304" t="str">
        <f>IF('Sign-On'!H205="","",'Sign-On'!H205)</f>
        <v/>
      </c>
      <c r="G207" s="304"/>
      <c r="H207" s="304"/>
      <c r="I207" s="363" t="str">
        <f>IF('Sign-On'!B205="","",'Sign-On'!B205)</f>
        <v/>
      </c>
      <c r="J207" s="363"/>
      <c r="K207" s="363"/>
      <c r="L207" s="363"/>
      <c r="M207" s="363"/>
      <c r="N207" s="363"/>
      <c r="O207" s="363"/>
      <c r="P207" s="363"/>
      <c r="Q207" s="363" t="str">
        <f>IF('Sign-On'!D205="","",'Sign-On'!D205)</f>
        <v/>
      </c>
      <c r="R207" s="363"/>
      <c r="S207" s="363"/>
      <c r="T207" s="363"/>
      <c r="U207" s="363"/>
      <c r="V207" s="363"/>
      <c r="W207" s="363"/>
      <c r="X207" s="363"/>
      <c r="Y207" s="304" t="str">
        <f>IF('Sign-On'!F205="","",'Sign-On'!F205)</f>
        <v/>
      </c>
      <c r="Z207" s="304"/>
      <c r="AA207" s="258"/>
      <c r="AB207" s="258"/>
      <c r="AC207" s="258"/>
      <c r="AD207" s="305" t="str">
        <f t="shared" si="13"/>
        <v/>
      </c>
      <c r="AE207" s="363"/>
      <c r="AF207" s="363"/>
      <c r="AG207" s="363"/>
      <c r="AH207" s="306"/>
      <c r="AI207" s="307"/>
    </row>
    <row r="208" spans="1:35">
      <c r="A208" s="35" t="str">
        <f t="shared" si="14"/>
        <v/>
      </c>
      <c r="B208" s="65" t="str">
        <f t="shared" si="11"/>
        <v/>
      </c>
      <c r="D208" s="303">
        <v>196</v>
      </c>
      <c r="E208" s="304"/>
      <c r="F208" s="304" t="str">
        <f>IF('Sign-On'!H206="","",'Sign-On'!H206)</f>
        <v/>
      </c>
      <c r="G208" s="304"/>
      <c r="H208" s="304"/>
      <c r="I208" s="363" t="str">
        <f>IF('Sign-On'!B206="","",'Sign-On'!B206)</f>
        <v/>
      </c>
      <c r="J208" s="363"/>
      <c r="K208" s="363"/>
      <c r="L208" s="363"/>
      <c r="M208" s="363"/>
      <c r="N208" s="363"/>
      <c r="O208" s="363"/>
      <c r="P208" s="363"/>
      <c r="Q208" s="363" t="str">
        <f>IF('Sign-On'!D206="","",'Sign-On'!D206)</f>
        <v/>
      </c>
      <c r="R208" s="363"/>
      <c r="S208" s="363"/>
      <c r="T208" s="363"/>
      <c r="U208" s="363"/>
      <c r="V208" s="363"/>
      <c r="W208" s="363"/>
      <c r="X208" s="363"/>
      <c r="Y208" s="304" t="str">
        <f>IF('Sign-On'!F206="","",'Sign-On'!F206)</f>
        <v/>
      </c>
      <c r="Z208" s="304"/>
      <c r="AA208" s="258"/>
      <c r="AB208" s="258"/>
      <c r="AC208" s="258"/>
      <c r="AD208" s="305" t="str">
        <f t="shared" si="13"/>
        <v/>
      </c>
      <c r="AE208" s="363"/>
      <c r="AF208" s="363"/>
      <c r="AG208" s="363"/>
      <c r="AH208" s="306"/>
      <c r="AI208" s="307"/>
    </row>
    <row r="209" spans="1:35">
      <c r="A209" s="35" t="str">
        <f t="shared" si="14"/>
        <v/>
      </c>
      <c r="B209" s="65" t="str">
        <f t="shared" si="11"/>
        <v/>
      </c>
      <c r="D209" s="303">
        <v>197</v>
      </c>
      <c r="E209" s="304"/>
      <c r="F209" s="304" t="str">
        <f>IF('Sign-On'!H207="","",'Sign-On'!H207)</f>
        <v/>
      </c>
      <c r="G209" s="304"/>
      <c r="H209" s="304"/>
      <c r="I209" s="363" t="str">
        <f>IF('Sign-On'!B207="","",'Sign-On'!B207)</f>
        <v/>
      </c>
      <c r="J209" s="363"/>
      <c r="K209" s="363"/>
      <c r="L209" s="363"/>
      <c r="M209" s="363"/>
      <c r="N209" s="363"/>
      <c r="O209" s="363"/>
      <c r="P209" s="363"/>
      <c r="Q209" s="363" t="str">
        <f>IF('Sign-On'!D207="","",'Sign-On'!D207)</f>
        <v/>
      </c>
      <c r="R209" s="363"/>
      <c r="S209" s="363"/>
      <c r="T209" s="363"/>
      <c r="U209" s="363"/>
      <c r="V209" s="363"/>
      <c r="W209" s="363"/>
      <c r="X209" s="363"/>
      <c r="Y209" s="304" t="str">
        <f>IF('Sign-On'!F207="","",'Sign-On'!F207)</f>
        <v/>
      </c>
      <c r="Z209" s="304"/>
      <c r="AA209" s="258"/>
      <c r="AB209" s="258"/>
      <c r="AC209" s="258"/>
      <c r="AD209" s="305" t="str">
        <f t="shared" si="13"/>
        <v/>
      </c>
      <c r="AE209" s="363"/>
      <c r="AF209" s="363"/>
      <c r="AG209" s="363"/>
      <c r="AH209" s="306"/>
      <c r="AI209" s="307"/>
    </row>
    <row r="210" spans="1:35">
      <c r="A210" s="35" t="str">
        <f t="shared" si="14"/>
        <v/>
      </c>
      <c r="B210" s="65" t="str">
        <f t="shared" si="11"/>
        <v/>
      </c>
      <c r="D210" s="303">
        <v>198</v>
      </c>
      <c r="E210" s="304"/>
      <c r="F210" s="304" t="str">
        <f>IF('Sign-On'!H208="","",'Sign-On'!H208)</f>
        <v/>
      </c>
      <c r="G210" s="304"/>
      <c r="H210" s="304"/>
      <c r="I210" s="363" t="str">
        <f>IF('Sign-On'!B208="","",'Sign-On'!B208)</f>
        <v/>
      </c>
      <c r="J210" s="363"/>
      <c r="K210" s="363"/>
      <c r="L210" s="363"/>
      <c r="M210" s="363"/>
      <c r="N210" s="363"/>
      <c r="O210" s="363"/>
      <c r="P210" s="363"/>
      <c r="Q210" s="363" t="str">
        <f>IF('Sign-On'!D208="","",'Sign-On'!D208)</f>
        <v/>
      </c>
      <c r="R210" s="363"/>
      <c r="S210" s="363"/>
      <c r="T210" s="363"/>
      <c r="U210" s="363"/>
      <c r="V210" s="363"/>
      <c r="W210" s="363"/>
      <c r="X210" s="363"/>
      <c r="Y210" s="304" t="str">
        <f>IF('Sign-On'!F208="","",'Sign-On'!F208)</f>
        <v/>
      </c>
      <c r="Z210" s="304"/>
      <c r="AA210" s="258"/>
      <c r="AB210" s="258"/>
      <c r="AC210" s="258"/>
      <c r="AD210" s="305" t="str">
        <f t="shared" ref="AD210:AD212" si="15">IF(AB210="","",IF(OR(AB210&gt;59,AC210&gt;59),"ERROR",((AA210*3600)+(AB210*60)+AC210)/86400))</f>
        <v/>
      </c>
      <c r="AE210" s="363"/>
      <c r="AF210" s="363"/>
      <c r="AG210" s="363"/>
      <c r="AH210" s="306"/>
      <c r="AI210" s="307"/>
    </row>
    <row r="211" spans="1:35">
      <c r="A211" s="35" t="str">
        <f t="shared" si="14"/>
        <v/>
      </c>
      <c r="B211" s="65" t="str">
        <f t="shared" si="11"/>
        <v/>
      </c>
      <c r="D211" s="303">
        <v>199</v>
      </c>
      <c r="E211" s="304"/>
      <c r="F211" s="304" t="str">
        <f>IF('Sign-On'!H209="","",'Sign-On'!H209)</f>
        <v/>
      </c>
      <c r="G211" s="304"/>
      <c r="H211" s="304"/>
      <c r="I211" s="363" t="str">
        <f>IF('Sign-On'!B209="","",'Sign-On'!B209)</f>
        <v/>
      </c>
      <c r="J211" s="363"/>
      <c r="K211" s="363"/>
      <c r="L211" s="363"/>
      <c r="M211" s="363"/>
      <c r="N211" s="363"/>
      <c r="O211" s="363"/>
      <c r="P211" s="363"/>
      <c r="Q211" s="363" t="str">
        <f>IF('Sign-On'!D209="","",'Sign-On'!D209)</f>
        <v/>
      </c>
      <c r="R211" s="363"/>
      <c r="S211" s="363"/>
      <c r="T211" s="363"/>
      <c r="U211" s="363"/>
      <c r="V211" s="363"/>
      <c r="W211" s="363"/>
      <c r="X211" s="363"/>
      <c r="Y211" s="304" t="str">
        <f>IF('Sign-On'!F209="","",'Sign-On'!F209)</f>
        <v/>
      </c>
      <c r="Z211" s="304"/>
      <c r="AA211" s="258"/>
      <c r="AB211" s="258"/>
      <c r="AC211" s="258"/>
      <c r="AD211" s="305" t="str">
        <f t="shared" si="15"/>
        <v/>
      </c>
      <c r="AE211" s="363"/>
      <c r="AF211" s="363"/>
      <c r="AG211" s="363"/>
      <c r="AH211" s="306"/>
      <c r="AI211" s="307"/>
    </row>
    <row r="212" spans="1:35">
      <c r="A212" s="35" t="str">
        <f t="shared" si="14"/>
        <v/>
      </c>
      <c r="B212" s="65" t="str">
        <f t="shared" si="11"/>
        <v/>
      </c>
      <c r="D212" s="308">
        <v>200</v>
      </c>
      <c r="E212" s="309"/>
      <c r="F212" s="309" t="str">
        <f>IF('Sign-On'!H210="","",'Sign-On'!H210)</f>
        <v/>
      </c>
      <c r="G212" s="309"/>
      <c r="H212" s="309"/>
      <c r="I212" s="364" t="str">
        <f>IF('Sign-On'!B210="","",'Sign-On'!B210)</f>
        <v/>
      </c>
      <c r="J212" s="364"/>
      <c r="K212" s="364"/>
      <c r="L212" s="364"/>
      <c r="M212" s="364"/>
      <c r="N212" s="364"/>
      <c r="O212" s="364"/>
      <c r="P212" s="364"/>
      <c r="Q212" s="364" t="str">
        <f>IF('Sign-On'!D210="","",'Sign-On'!D210)</f>
        <v/>
      </c>
      <c r="R212" s="364"/>
      <c r="S212" s="364"/>
      <c r="T212" s="364"/>
      <c r="U212" s="364"/>
      <c r="V212" s="364"/>
      <c r="W212" s="364"/>
      <c r="X212" s="364"/>
      <c r="Y212" s="309" t="str">
        <f>IF('Sign-On'!F210="","",'Sign-On'!F210)</f>
        <v/>
      </c>
      <c r="Z212" s="309"/>
      <c r="AA212" s="260"/>
      <c r="AB212" s="260"/>
      <c r="AC212" s="260"/>
      <c r="AD212" s="310" t="str">
        <f t="shared" si="15"/>
        <v/>
      </c>
      <c r="AE212" s="364"/>
      <c r="AF212" s="364"/>
      <c r="AG212" s="364"/>
      <c r="AH212" s="311"/>
      <c r="AI212" s="312"/>
    </row>
  </sheetData>
  <sheetProtection password="BC93" sheet="1" selectLockedCells="1"/>
  <mergeCells count="1570">
    <mergeCell ref="Y178:Z178"/>
    <mergeCell ref="Y179:Z179"/>
    <mergeCell ref="AD180:AG180"/>
    <mergeCell ref="AD181:AG181"/>
    <mergeCell ref="Y180:Z180"/>
    <mergeCell ref="Y181:Z181"/>
    <mergeCell ref="Y172:Z172"/>
    <mergeCell ref="Y173:Z173"/>
    <mergeCell ref="Y174:Z174"/>
    <mergeCell ref="Y175:Z175"/>
    <mergeCell ref="Y176:Z176"/>
    <mergeCell ref="Y177:Z177"/>
    <mergeCell ref="Y182:Z182"/>
    <mergeCell ref="Y163:Z163"/>
    <mergeCell ref="Y164:Z164"/>
    <mergeCell ref="Y165:Z165"/>
    <mergeCell ref="Y166:Z166"/>
    <mergeCell ref="Y167:Z167"/>
    <mergeCell ref="Y168:Z168"/>
    <mergeCell ref="Y169:Z169"/>
    <mergeCell ref="Y170:Z170"/>
    <mergeCell ref="Y171:Z171"/>
    <mergeCell ref="AD169:AG169"/>
    <mergeCell ref="AD170:AG170"/>
    <mergeCell ref="AD171:AG171"/>
    <mergeCell ref="AD172:AG172"/>
    <mergeCell ref="AD173:AG173"/>
    <mergeCell ref="AH178:AI178"/>
    <mergeCell ref="AH179:AI179"/>
    <mergeCell ref="AH180:AI180"/>
    <mergeCell ref="AH181:AI181"/>
    <mergeCell ref="AH182:AI182"/>
    <mergeCell ref="AD163:AG163"/>
    <mergeCell ref="AD164:AG164"/>
    <mergeCell ref="AD165:AG165"/>
    <mergeCell ref="AD166:AG166"/>
    <mergeCell ref="AD167:AG167"/>
    <mergeCell ref="AH172:AI172"/>
    <mergeCell ref="AH173:AI173"/>
    <mergeCell ref="AH174:AI174"/>
    <mergeCell ref="AH175:AI175"/>
    <mergeCell ref="AH176:AI176"/>
    <mergeCell ref="AH177:AI177"/>
    <mergeCell ref="AD182:AG182"/>
    <mergeCell ref="AH163:AI163"/>
    <mergeCell ref="AH164:AI164"/>
    <mergeCell ref="AH165:AI165"/>
    <mergeCell ref="AH166:AI166"/>
    <mergeCell ref="AH167:AI167"/>
    <mergeCell ref="AH168:AI168"/>
    <mergeCell ref="AH169:AI169"/>
    <mergeCell ref="AH170:AI170"/>
    <mergeCell ref="AH171:AI171"/>
    <mergeCell ref="Q182:X182"/>
    <mergeCell ref="I163:P163"/>
    <mergeCell ref="I164:P164"/>
    <mergeCell ref="I165:P165"/>
    <mergeCell ref="I166:P166"/>
    <mergeCell ref="I167:P167"/>
    <mergeCell ref="I168:P168"/>
    <mergeCell ref="I169:P169"/>
    <mergeCell ref="I170:P170"/>
    <mergeCell ref="I171:P171"/>
    <mergeCell ref="Q176:X176"/>
    <mergeCell ref="Q177:X177"/>
    <mergeCell ref="Q178:X178"/>
    <mergeCell ref="Q179:X179"/>
    <mergeCell ref="Q180:X180"/>
    <mergeCell ref="Q181:X181"/>
    <mergeCell ref="Q170:X170"/>
    <mergeCell ref="Q171:X171"/>
    <mergeCell ref="Q172:X172"/>
    <mergeCell ref="Q173:X173"/>
    <mergeCell ref="Q174:X174"/>
    <mergeCell ref="Q175:X175"/>
    <mergeCell ref="I180:P180"/>
    <mergeCell ref="I181:P181"/>
    <mergeCell ref="I182:P182"/>
    <mergeCell ref="Q163:X163"/>
    <mergeCell ref="Q164:X164"/>
    <mergeCell ref="Q165:X165"/>
    <mergeCell ref="Q166:X166"/>
    <mergeCell ref="Q167:X167"/>
    <mergeCell ref="Q168:X168"/>
    <mergeCell ref="Q169:X169"/>
    <mergeCell ref="F181:H181"/>
    <mergeCell ref="F182:H182"/>
    <mergeCell ref="D163:E163"/>
    <mergeCell ref="D164:E164"/>
    <mergeCell ref="D165:E165"/>
    <mergeCell ref="D166:E166"/>
    <mergeCell ref="D167:E167"/>
    <mergeCell ref="D168:E168"/>
    <mergeCell ref="D169:E169"/>
    <mergeCell ref="F174:H174"/>
    <mergeCell ref="F175:H175"/>
    <mergeCell ref="F176:H176"/>
    <mergeCell ref="F177:H177"/>
    <mergeCell ref="F178:H178"/>
    <mergeCell ref="F179:H179"/>
    <mergeCell ref="F168:H168"/>
    <mergeCell ref="F169:H169"/>
    <mergeCell ref="F170:H170"/>
    <mergeCell ref="F171:H171"/>
    <mergeCell ref="F172:H172"/>
    <mergeCell ref="F173:H173"/>
    <mergeCell ref="D180:E180"/>
    <mergeCell ref="D181:E181"/>
    <mergeCell ref="D182:E182"/>
    <mergeCell ref="F163:H163"/>
    <mergeCell ref="F164:H164"/>
    <mergeCell ref="F165:H165"/>
    <mergeCell ref="F166:H166"/>
    <mergeCell ref="F167:H167"/>
    <mergeCell ref="D176:E176"/>
    <mergeCell ref="D177:E177"/>
    <mergeCell ref="D178:E178"/>
    <mergeCell ref="D179:E179"/>
    <mergeCell ref="Y34:Z34"/>
    <mergeCell ref="AH24:AI24"/>
    <mergeCell ref="AH25:AI25"/>
    <mergeCell ref="AD27:AG27"/>
    <mergeCell ref="AD28:AG28"/>
    <mergeCell ref="AD24:AG24"/>
    <mergeCell ref="D170:E170"/>
    <mergeCell ref="D171:E171"/>
    <mergeCell ref="D172:E172"/>
    <mergeCell ref="D173:E173"/>
    <mergeCell ref="D174:E174"/>
    <mergeCell ref="D175:E175"/>
    <mergeCell ref="F180:H180"/>
    <mergeCell ref="I178:P178"/>
    <mergeCell ref="I179:P179"/>
    <mergeCell ref="I172:P172"/>
    <mergeCell ref="I173:P173"/>
    <mergeCell ref="I174:P174"/>
    <mergeCell ref="I175:P175"/>
    <mergeCell ref="I176:P176"/>
    <mergeCell ref="I177:P177"/>
    <mergeCell ref="AD174:AG174"/>
    <mergeCell ref="AD175:AG175"/>
    <mergeCell ref="AD176:AG176"/>
    <mergeCell ref="AD177:AG177"/>
    <mergeCell ref="AD178:AG178"/>
    <mergeCell ref="AD179:AG179"/>
    <mergeCell ref="AD168:AG168"/>
    <mergeCell ref="Y42:Z42"/>
    <mergeCell ref="Y40:Z40"/>
    <mergeCell ref="I38:P38"/>
    <mergeCell ref="AH19:AI19"/>
    <mergeCell ref="AH20:AI20"/>
    <mergeCell ref="Y28:Z28"/>
    <mergeCell ref="Y23:Z23"/>
    <mergeCell ref="Q28:X28"/>
    <mergeCell ref="AH21:AI21"/>
    <mergeCell ref="AD22:AG22"/>
    <mergeCell ref="Y16:Z16"/>
    <mergeCell ref="I1:AE1"/>
    <mergeCell ref="AH28:AI28"/>
    <mergeCell ref="AH29:AI29"/>
    <mergeCell ref="Y27:Z27"/>
    <mergeCell ref="Q25:X25"/>
    <mergeCell ref="Q26:X26"/>
    <mergeCell ref="Q27:X27"/>
    <mergeCell ref="AD30:AG30"/>
    <mergeCell ref="AD29:AG29"/>
    <mergeCell ref="AD26:AG26"/>
    <mergeCell ref="Y21:Z21"/>
    <mergeCell ref="Y22:Z22"/>
    <mergeCell ref="AH15:AI15"/>
    <mergeCell ref="AH16:AI16"/>
    <mergeCell ref="AH17:AI17"/>
    <mergeCell ref="AH22:AI22"/>
    <mergeCell ref="AD21:AG21"/>
    <mergeCell ref="Y18:Z18"/>
    <mergeCell ref="AD20:AG20"/>
    <mergeCell ref="AD16:AG16"/>
    <mergeCell ref="Q15:X15"/>
    <mergeCell ref="I13:P13"/>
    <mergeCell ref="AH13:AI13"/>
    <mergeCell ref="AH14:AI14"/>
    <mergeCell ref="Q35:X35"/>
    <mergeCell ref="I37:P37"/>
    <mergeCell ref="Y33:Z33"/>
    <mergeCell ref="AH31:AI31"/>
    <mergeCell ref="AH32:AI32"/>
    <mergeCell ref="AH37:AI37"/>
    <mergeCell ref="AH38:AI38"/>
    <mergeCell ref="Q24:X24"/>
    <mergeCell ref="Q30:X30"/>
    <mergeCell ref="Q23:X23"/>
    <mergeCell ref="Y24:Z24"/>
    <mergeCell ref="AH27:AI27"/>
    <mergeCell ref="I23:P23"/>
    <mergeCell ref="AH23:AI23"/>
    <mergeCell ref="AD25:AG25"/>
    <mergeCell ref="Y25:Z25"/>
    <mergeCell ref="Y26:Z26"/>
    <mergeCell ref="AH30:AI30"/>
    <mergeCell ref="I27:P27"/>
    <mergeCell ref="I28:P28"/>
    <mergeCell ref="I25:P25"/>
    <mergeCell ref="I33:P33"/>
    <mergeCell ref="I34:P34"/>
    <mergeCell ref="Q38:X38"/>
    <mergeCell ref="Y30:Z30"/>
    <mergeCell ref="Y31:Z31"/>
    <mergeCell ref="Y32:Z32"/>
    <mergeCell ref="F41:H41"/>
    <mergeCell ref="F42:H42"/>
    <mergeCell ref="F37:H37"/>
    <mergeCell ref="F38:H38"/>
    <mergeCell ref="I39:P39"/>
    <mergeCell ref="I42:P42"/>
    <mergeCell ref="F39:H39"/>
    <mergeCell ref="F40:H40"/>
    <mergeCell ref="AH42:AI42"/>
    <mergeCell ref="Y39:Z39"/>
    <mergeCell ref="AH40:AI40"/>
    <mergeCell ref="AD40:AG40"/>
    <mergeCell ref="AD41:AG41"/>
    <mergeCell ref="AD42:AG42"/>
    <mergeCell ref="Y41:Z41"/>
    <mergeCell ref="AD39:AG39"/>
    <mergeCell ref="AH33:AI33"/>
    <mergeCell ref="AH34:AI34"/>
    <mergeCell ref="AH35:AI35"/>
    <mergeCell ref="AH36:AI36"/>
    <mergeCell ref="AH39:AI39"/>
    <mergeCell ref="AH41:AI41"/>
    <mergeCell ref="Q42:X42"/>
    <mergeCell ref="I41:P41"/>
    <mergeCell ref="Y36:Z36"/>
    <mergeCell ref="Q41:X41"/>
    <mergeCell ref="Q36:X36"/>
    <mergeCell ref="I36:P36"/>
    <mergeCell ref="Y37:Z37"/>
    <mergeCell ref="AD33:AG33"/>
    <mergeCell ref="Q33:X33"/>
    <mergeCell ref="Q39:X39"/>
    <mergeCell ref="Q40:X40"/>
    <mergeCell ref="AD31:AG31"/>
    <mergeCell ref="AD34:AG34"/>
    <mergeCell ref="AD35:AG35"/>
    <mergeCell ref="AD36:AG36"/>
    <mergeCell ref="Q37:X37"/>
    <mergeCell ref="AD32:AG32"/>
    <mergeCell ref="AD37:AG37"/>
    <mergeCell ref="AD38:AG38"/>
    <mergeCell ref="I26:P26"/>
    <mergeCell ref="AA3:AI3"/>
    <mergeCell ref="AA4:AI4"/>
    <mergeCell ref="AA5:AI5"/>
    <mergeCell ref="AA7:AI7"/>
    <mergeCell ref="K3:S3"/>
    <mergeCell ref="K4:S4"/>
    <mergeCell ref="K5:L5"/>
    <mergeCell ref="M5:O5"/>
    <mergeCell ref="K8:S8"/>
    <mergeCell ref="AD13:AG13"/>
    <mergeCell ref="Y13:Z13"/>
    <mergeCell ref="Y14:Z14"/>
    <mergeCell ref="Y15:Z15"/>
    <mergeCell ref="AD14:AG14"/>
    <mergeCell ref="AD15:AG15"/>
    <mergeCell ref="K9:S9"/>
    <mergeCell ref="Q13:X13"/>
    <mergeCell ref="Q14:X14"/>
    <mergeCell ref="Y29:Z29"/>
    <mergeCell ref="AD23:AG23"/>
    <mergeCell ref="AH26:AI26"/>
    <mergeCell ref="Y38:Z38"/>
    <mergeCell ref="D16:E16"/>
    <mergeCell ref="D17:E17"/>
    <mergeCell ref="D12:E12"/>
    <mergeCell ref="F12:H12"/>
    <mergeCell ref="F48:H48"/>
    <mergeCell ref="F35:H35"/>
    <mergeCell ref="F36:H36"/>
    <mergeCell ref="F46:H46"/>
    <mergeCell ref="F44:H44"/>
    <mergeCell ref="F47:H47"/>
    <mergeCell ref="AH12:AI12"/>
    <mergeCell ref="K6:S6"/>
    <mergeCell ref="AA6:AI6"/>
    <mergeCell ref="Y19:Z19"/>
    <mergeCell ref="AD17:AG17"/>
    <mergeCell ref="AD19:AG19"/>
    <mergeCell ref="AD18:AG18"/>
    <mergeCell ref="AH18:AI18"/>
    <mergeCell ref="K7:S7"/>
    <mergeCell ref="AA8:AI8"/>
    <mergeCell ref="AA9:AI9"/>
    <mergeCell ref="Q22:X22"/>
    <mergeCell ref="Q21:X21"/>
    <mergeCell ref="Q19:X19"/>
    <mergeCell ref="Q20:X20"/>
    <mergeCell ref="I16:P16"/>
    <mergeCell ref="Y20:Z20"/>
    <mergeCell ref="Q16:X16"/>
    <mergeCell ref="Q17:X17"/>
    <mergeCell ref="Q18:X18"/>
    <mergeCell ref="Y17:Z17"/>
    <mergeCell ref="Y35:Z35"/>
    <mergeCell ref="D13:E13"/>
    <mergeCell ref="D14:E14"/>
    <mergeCell ref="I19:P19"/>
    <mergeCell ref="I20:P20"/>
    <mergeCell ref="D18:E18"/>
    <mergeCell ref="D19:E19"/>
    <mergeCell ref="D15:E15"/>
    <mergeCell ref="I14:P14"/>
    <mergeCell ref="F17:H17"/>
    <mergeCell ref="F18:H18"/>
    <mergeCell ref="F30:H30"/>
    <mergeCell ref="F24:H24"/>
    <mergeCell ref="F25:H25"/>
    <mergeCell ref="F26:H26"/>
    <mergeCell ref="F27:H27"/>
    <mergeCell ref="F21:H21"/>
    <mergeCell ref="F23:H23"/>
    <mergeCell ref="F28:H28"/>
    <mergeCell ref="F20:H20"/>
    <mergeCell ref="F19:H19"/>
    <mergeCell ref="I21:P21"/>
    <mergeCell ref="D25:E25"/>
    <mergeCell ref="I30:P30"/>
    <mergeCell ref="F13:H13"/>
    <mergeCell ref="F14:H14"/>
    <mergeCell ref="F15:H15"/>
    <mergeCell ref="F16:H16"/>
    <mergeCell ref="I17:P17"/>
    <mergeCell ref="I18:P18"/>
    <mergeCell ref="I15:P15"/>
    <mergeCell ref="D20:E20"/>
    <mergeCell ref="D30:E30"/>
    <mergeCell ref="D21:E21"/>
    <mergeCell ref="D50:E50"/>
    <mergeCell ref="D43:E43"/>
    <mergeCell ref="D46:E46"/>
    <mergeCell ref="D47:E47"/>
    <mergeCell ref="D48:E48"/>
    <mergeCell ref="D39:E39"/>
    <mergeCell ref="D26:E26"/>
    <mergeCell ref="D52:E52"/>
    <mergeCell ref="Q43:X43"/>
    <mergeCell ref="Q45:X45"/>
    <mergeCell ref="Q47:X47"/>
    <mergeCell ref="Q50:X50"/>
    <mergeCell ref="F49:H49"/>
    <mergeCell ref="F52:H52"/>
    <mergeCell ref="I52:P52"/>
    <mergeCell ref="Q52:X52"/>
    <mergeCell ref="D49:E49"/>
    <mergeCell ref="F45:H45"/>
    <mergeCell ref="I35:P35"/>
    <mergeCell ref="D44:E44"/>
    <mergeCell ref="D45:E45"/>
    <mergeCell ref="D35:E35"/>
    <mergeCell ref="D36:E36"/>
    <mergeCell ref="D37:E37"/>
    <mergeCell ref="D38:E38"/>
    <mergeCell ref="D40:E40"/>
    <mergeCell ref="D41:E41"/>
    <mergeCell ref="D42:E42"/>
    <mergeCell ref="D31:E31"/>
    <mergeCell ref="D28:E28"/>
    <mergeCell ref="I40:P40"/>
    <mergeCell ref="D22:E22"/>
    <mergeCell ref="D23:E23"/>
    <mergeCell ref="I24:P24"/>
    <mergeCell ref="F29:H29"/>
    <mergeCell ref="D27:E27"/>
    <mergeCell ref="I29:P29"/>
    <mergeCell ref="D24:E24"/>
    <mergeCell ref="F22:H22"/>
    <mergeCell ref="I22:P22"/>
    <mergeCell ref="D32:E32"/>
    <mergeCell ref="D33:E33"/>
    <mergeCell ref="D34:E34"/>
    <mergeCell ref="F31:H31"/>
    <mergeCell ref="Q31:X31"/>
    <mergeCell ref="I31:P31"/>
    <mergeCell ref="Q32:X32"/>
    <mergeCell ref="Q34:X34"/>
    <mergeCell ref="I32:P32"/>
    <mergeCell ref="F32:H32"/>
    <mergeCell ref="F33:H33"/>
    <mergeCell ref="F34:H34"/>
    <mergeCell ref="F54:H54"/>
    <mergeCell ref="I54:P54"/>
    <mergeCell ref="F56:H56"/>
    <mergeCell ref="F55:H55"/>
    <mergeCell ref="F61:H61"/>
    <mergeCell ref="I61:P61"/>
    <mergeCell ref="F58:H58"/>
    <mergeCell ref="F57:H57"/>
    <mergeCell ref="I57:P57"/>
    <mergeCell ref="D71:E71"/>
    <mergeCell ref="D72:E72"/>
    <mergeCell ref="I55:P55"/>
    <mergeCell ref="Q29:X29"/>
    <mergeCell ref="D29:E29"/>
    <mergeCell ref="D51:E51"/>
    <mergeCell ref="D64:E64"/>
    <mergeCell ref="D53:E53"/>
    <mergeCell ref="D54:E54"/>
    <mergeCell ref="D55:E55"/>
    <mergeCell ref="D56:E56"/>
    <mergeCell ref="D57:E57"/>
    <mergeCell ref="D58:E58"/>
    <mergeCell ref="D59:E59"/>
    <mergeCell ref="D63:E63"/>
    <mergeCell ref="D62:E62"/>
    <mergeCell ref="D60:E60"/>
    <mergeCell ref="D61:E61"/>
    <mergeCell ref="F43:H43"/>
    <mergeCell ref="Q55:X55"/>
    <mergeCell ref="I59:P59"/>
    <mergeCell ref="I56:P56"/>
    <mergeCell ref="I53:P53"/>
    <mergeCell ref="D93:E93"/>
    <mergeCell ref="D94:E94"/>
    <mergeCell ref="D81:E81"/>
    <mergeCell ref="D82:E82"/>
    <mergeCell ref="D115:E115"/>
    <mergeCell ref="D116:E116"/>
    <mergeCell ref="D117:E117"/>
    <mergeCell ref="D118:E118"/>
    <mergeCell ref="D111:E111"/>
    <mergeCell ref="D112:E112"/>
    <mergeCell ref="D75:E75"/>
    <mergeCell ref="D76:E76"/>
    <mergeCell ref="D65:E65"/>
    <mergeCell ref="D66:E66"/>
    <mergeCell ref="D67:E67"/>
    <mergeCell ref="D68:E68"/>
    <mergeCell ref="D69:E69"/>
    <mergeCell ref="D70:E70"/>
    <mergeCell ref="D109:E109"/>
    <mergeCell ref="D110:E110"/>
    <mergeCell ref="D73:E73"/>
    <mergeCell ref="D74:E74"/>
    <mergeCell ref="D87:E87"/>
    <mergeCell ref="D88:E88"/>
    <mergeCell ref="D77:E77"/>
    <mergeCell ref="D78:E78"/>
    <mergeCell ref="D79:E79"/>
    <mergeCell ref="D80:E80"/>
    <mergeCell ref="D137:E137"/>
    <mergeCell ref="I43:P43"/>
    <mergeCell ref="I45:P45"/>
    <mergeCell ref="I47:P47"/>
    <mergeCell ref="I49:P49"/>
    <mergeCell ref="F51:H51"/>
    <mergeCell ref="I51:P51"/>
    <mergeCell ref="F53:H53"/>
    <mergeCell ref="F50:H50"/>
    <mergeCell ref="I50:P50"/>
    <mergeCell ref="D89:E89"/>
    <mergeCell ref="D90:E90"/>
    <mergeCell ref="D91:E91"/>
    <mergeCell ref="D92:E92"/>
    <mergeCell ref="D83:E83"/>
    <mergeCell ref="D84:E84"/>
    <mergeCell ref="D85:E85"/>
    <mergeCell ref="D86:E86"/>
    <mergeCell ref="D95:E95"/>
    <mergeCell ref="D96:E96"/>
    <mergeCell ref="D107:E107"/>
    <mergeCell ref="D108:E108"/>
    <mergeCell ref="D103:E103"/>
    <mergeCell ref="D104:E104"/>
    <mergeCell ref="D105:E105"/>
    <mergeCell ref="D106:E106"/>
    <mergeCell ref="D99:E99"/>
    <mergeCell ref="D100:E100"/>
    <mergeCell ref="D101:E101"/>
    <mergeCell ref="D102:E102"/>
    <mergeCell ref="D97:E97"/>
    <mergeCell ref="D98:E98"/>
    <mergeCell ref="D123:E123"/>
    <mergeCell ref="D124:E124"/>
    <mergeCell ref="D113:E113"/>
    <mergeCell ref="D114:E114"/>
    <mergeCell ref="D119:E119"/>
    <mergeCell ref="D120:E120"/>
    <mergeCell ref="D121:E121"/>
    <mergeCell ref="D122:E122"/>
    <mergeCell ref="D135:E135"/>
    <mergeCell ref="D136:E136"/>
    <mergeCell ref="D125:E125"/>
    <mergeCell ref="D126:E126"/>
    <mergeCell ref="D127:E127"/>
    <mergeCell ref="D128:E128"/>
    <mergeCell ref="D133:E133"/>
    <mergeCell ref="D134:E134"/>
    <mergeCell ref="D131:E131"/>
    <mergeCell ref="D132:E132"/>
    <mergeCell ref="D129:E129"/>
    <mergeCell ref="D130:E130"/>
    <mergeCell ref="AD43:AG43"/>
    <mergeCell ref="I44:P44"/>
    <mergeCell ref="Q44:X44"/>
    <mergeCell ref="AD44:AG44"/>
    <mergeCell ref="Y43:Z43"/>
    <mergeCell ref="Y44:Z44"/>
    <mergeCell ref="AD45:AG45"/>
    <mergeCell ref="I46:P46"/>
    <mergeCell ref="Q46:X46"/>
    <mergeCell ref="AD46:AG46"/>
    <mergeCell ref="Y45:Z45"/>
    <mergeCell ref="Y46:Z46"/>
    <mergeCell ref="AD47:AG47"/>
    <mergeCell ref="I48:P48"/>
    <mergeCell ref="Q48:X48"/>
    <mergeCell ref="AD48:AG48"/>
    <mergeCell ref="Y48:Z48"/>
    <mergeCell ref="Y47:Z47"/>
    <mergeCell ref="AD56:AG56"/>
    <mergeCell ref="AD57:AG57"/>
    <mergeCell ref="Y54:Z54"/>
    <mergeCell ref="Y52:Z52"/>
    <mergeCell ref="Y49:Z49"/>
    <mergeCell ref="Q51:X51"/>
    <mergeCell ref="Y51:Z51"/>
    <mergeCell ref="AD51:AG51"/>
    <mergeCell ref="Q49:X49"/>
    <mergeCell ref="AD49:AG49"/>
    <mergeCell ref="Y50:Z50"/>
    <mergeCell ref="AD50:AG50"/>
    <mergeCell ref="Q57:X57"/>
    <mergeCell ref="Y55:Z55"/>
    <mergeCell ref="Y56:Z56"/>
    <mergeCell ref="Y57:Z57"/>
    <mergeCell ref="AD52:AG52"/>
    <mergeCell ref="AD54:AG54"/>
    <mergeCell ref="AD55:AG55"/>
    <mergeCell ref="Y53:Z53"/>
    <mergeCell ref="AD53:AG53"/>
    <mergeCell ref="Q54:X54"/>
    <mergeCell ref="Q53:X53"/>
    <mergeCell ref="Q56:X56"/>
    <mergeCell ref="Y61:Z61"/>
    <mergeCell ref="AD61:AG61"/>
    <mergeCell ref="I58:P58"/>
    <mergeCell ref="Y58:Z58"/>
    <mergeCell ref="F60:H60"/>
    <mergeCell ref="I60:P60"/>
    <mergeCell ref="Y60:Z60"/>
    <mergeCell ref="F59:H59"/>
    <mergeCell ref="Q60:X60"/>
    <mergeCell ref="AD60:AG60"/>
    <mergeCell ref="Q62:X62"/>
    <mergeCell ref="Y62:Z62"/>
    <mergeCell ref="AD62:AG62"/>
    <mergeCell ref="F63:H63"/>
    <mergeCell ref="I63:P63"/>
    <mergeCell ref="Q63:X63"/>
    <mergeCell ref="Y63:Z63"/>
    <mergeCell ref="AD63:AG63"/>
    <mergeCell ref="F62:H62"/>
    <mergeCell ref="I62:P62"/>
    <mergeCell ref="Q59:X59"/>
    <mergeCell ref="Y59:Z59"/>
    <mergeCell ref="Q61:X61"/>
    <mergeCell ref="AD58:AG58"/>
    <mergeCell ref="AD59:AG59"/>
    <mergeCell ref="Q58:X58"/>
    <mergeCell ref="Q64:X64"/>
    <mergeCell ref="Y64:Z64"/>
    <mergeCell ref="AD64:AG64"/>
    <mergeCell ref="F65:H65"/>
    <mergeCell ref="I65:P65"/>
    <mergeCell ref="Q65:X65"/>
    <mergeCell ref="Y65:Z65"/>
    <mergeCell ref="AD65:AG65"/>
    <mergeCell ref="F64:H64"/>
    <mergeCell ref="I64:P64"/>
    <mergeCell ref="Q66:X66"/>
    <mergeCell ref="Y66:Z66"/>
    <mergeCell ref="AD66:AG66"/>
    <mergeCell ref="F67:H67"/>
    <mergeCell ref="I67:P67"/>
    <mergeCell ref="Q67:X67"/>
    <mergeCell ref="Y67:Z67"/>
    <mergeCell ref="AD67:AG67"/>
    <mergeCell ref="F66:H66"/>
    <mergeCell ref="I66:P66"/>
    <mergeCell ref="Q68:X68"/>
    <mergeCell ref="Y68:Z68"/>
    <mergeCell ref="AD68:AG68"/>
    <mergeCell ref="F69:H69"/>
    <mergeCell ref="I69:P69"/>
    <mergeCell ref="Q69:X69"/>
    <mergeCell ref="Y69:Z69"/>
    <mergeCell ref="AD69:AG69"/>
    <mergeCell ref="F68:H68"/>
    <mergeCell ref="I68:P68"/>
    <mergeCell ref="Q70:X70"/>
    <mergeCell ref="Y70:Z70"/>
    <mergeCell ref="AD70:AG70"/>
    <mergeCell ref="F71:H71"/>
    <mergeCell ref="I71:P71"/>
    <mergeCell ref="Q71:X71"/>
    <mergeCell ref="Y71:Z71"/>
    <mergeCell ref="AD71:AG71"/>
    <mergeCell ref="F70:H70"/>
    <mergeCell ref="I70:P70"/>
    <mergeCell ref="Q72:X72"/>
    <mergeCell ref="Y72:Z72"/>
    <mergeCell ref="AD72:AG72"/>
    <mergeCell ref="F73:H73"/>
    <mergeCell ref="I73:P73"/>
    <mergeCell ref="Q73:X73"/>
    <mergeCell ref="Y73:Z73"/>
    <mergeCell ref="AD73:AG73"/>
    <mergeCell ref="F72:H72"/>
    <mergeCell ref="I72:P72"/>
    <mergeCell ref="Q74:X74"/>
    <mergeCell ref="Y74:Z74"/>
    <mergeCell ref="AD74:AG74"/>
    <mergeCell ref="F75:H75"/>
    <mergeCell ref="I75:P75"/>
    <mergeCell ref="Q75:X75"/>
    <mergeCell ref="Y75:Z75"/>
    <mergeCell ref="AD75:AG75"/>
    <mergeCell ref="F74:H74"/>
    <mergeCell ref="I74:P74"/>
    <mergeCell ref="Q76:X76"/>
    <mergeCell ref="Y76:Z76"/>
    <mergeCell ref="AD76:AG76"/>
    <mergeCell ref="F77:H77"/>
    <mergeCell ref="I77:P77"/>
    <mergeCell ref="Q77:X77"/>
    <mergeCell ref="Y77:Z77"/>
    <mergeCell ref="AD77:AG77"/>
    <mergeCell ref="F76:H76"/>
    <mergeCell ref="I76:P76"/>
    <mergeCell ref="Q78:X78"/>
    <mergeCell ref="Y78:Z78"/>
    <mergeCell ref="AD78:AG78"/>
    <mergeCell ref="F79:H79"/>
    <mergeCell ref="I79:P79"/>
    <mergeCell ref="Q79:X79"/>
    <mergeCell ref="Y79:Z79"/>
    <mergeCell ref="AD79:AG79"/>
    <mergeCell ref="F78:H78"/>
    <mergeCell ref="I78:P78"/>
    <mergeCell ref="Q80:X80"/>
    <mergeCell ref="Y80:Z80"/>
    <mergeCell ref="AD80:AG80"/>
    <mergeCell ref="F81:H81"/>
    <mergeCell ref="I81:P81"/>
    <mergeCell ref="Q81:X81"/>
    <mergeCell ref="Y81:Z81"/>
    <mergeCell ref="AD81:AG81"/>
    <mergeCell ref="F80:H80"/>
    <mergeCell ref="I80:P80"/>
    <mergeCell ref="Q82:X82"/>
    <mergeCell ref="Y82:Z82"/>
    <mergeCell ref="AD82:AG82"/>
    <mergeCell ref="F83:H83"/>
    <mergeCell ref="I83:P83"/>
    <mergeCell ref="Q83:X83"/>
    <mergeCell ref="Y83:Z83"/>
    <mergeCell ref="AD83:AG83"/>
    <mergeCell ref="F82:H82"/>
    <mergeCell ref="I82:P82"/>
    <mergeCell ref="Q84:X84"/>
    <mergeCell ref="Y84:Z84"/>
    <mergeCell ref="AD84:AG84"/>
    <mergeCell ref="F85:H85"/>
    <mergeCell ref="I85:P85"/>
    <mergeCell ref="Q85:X85"/>
    <mergeCell ref="Y85:Z85"/>
    <mergeCell ref="AD85:AG85"/>
    <mergeCell ref="F84:H84"/>
    <mergeCell ref="I84:P84"/>
    <mergeCell ref="Q86:X86"/>
    <mergeCell ref="Y86:Z86"/>
    <mergeCell ref="AD86:AG86"/>
    <mergeCell ref="F87:H87"/>
    <mergeCell ref="I87:P87"/>
    <mergeCell ref="Q87:X87"/>
    <mergeCell ref="Y87:Z87"/>
    <mergeCell ref="AD87:AG87"/>
    <mergeCell ref="F86:H86"/>
    <mergeCell ref="I86:P86"/>
    <mergeCell ref="Q88:X88"/>
    <mergeCell ref="Y88:Z88"/>
    <mergeCell ref="AD88:AG88"/>
    <mergeCell ref="F89:H89"/>
    <mergeCell ref="I89:P89"/>
    <mergeCell ref="Q89:X89"/>
    <mergeCell ref="Y89:Z89"/>
    <mergeCell ref="AD89:AG89"/>
    <mergeCell ref="F88:H88"/>
    <mergeCell ref="I88:P88"/>
    <mergeCell ref="Q90:X90"/>
    <mergeCell ref="Y90:Z90"/>
    <mergeCell ref="AD90:AG90"/>
    <mergeCell ref="F91:H91"/>
    <mergeCell ref="I91:P91"/>
    <mergeCell ref="Q91:X91"/>
    <mergeCell ref="Y91:Z91"/>
    <mergeCell ref="AD91:AG91"/>
    <mergeCell ref="F90:H90"/>
    <mergeCell ref="I90:P90"/>
    <mergeCell ref="Q92:X92"/>
    <mergeCell ref="Y92:Z92"/>
    <mergeCell ref="AD92:AG92"/>
    <mergeCell ref="F93:H93"/>
    <mergeCell ref="I93:P93"/>
    <mergeCell ref="Q93:X93"/>
    <mergeCell ref="Y93:Z93"/>
    <mergeCell ref="AD93:AG93"/>
    <mergeCell ref="F92:H92"/>
    <mergeCell ref="I92:P92"/>
    <mergeCell ref="Q94:X94"/>
    <mergeCell ref="Y94:Z94"/>
    <mergeCell ref="AD94:AG94"/>
    <mergeCell ref="F95:H95"/>
    <mergeCell ref="I95:P95"/>
    <mergeCell ref="Q95:X95"/>
    <mergeCell ref="Y95:Z95"/>
    <mergeCell ref="AD95:AG95"/>
    <mergeCell ref="F94:H94"/>
    <mergeCell ref="I94:P94"/>
    <mergeCell ref="Q96:X96"/>
    <mergeCell ref="Y96:Z96"/>
    <mergeCell ref="AD96:AG96"/>
    <mergeCell ref="F97:H97"/>
    <mergeCell ref="I97:P97"/>
    <mergeCell ref="Q97:X97"/>
    <mergeCell ref="Y97:Z97"/>
    <mergeCell ref="AD97:AG97"/>
    <mergeCell ref="F96:H96"/>
    <mergeCell ref="I96:P96"/>
    <mergeCell ref="Q98:X98"/>
    <mergeCell ref="Y98:Z98"/>
    <mergeCell ref="AD98:AG98"/>
    <mergeCell ref="F99:H99"/>
    <mergeCell ref="I99:P99"/>
    <mergeCell ref="Q99:X99"/>
    <mergeCell ref="Y99:Z99"/>
    <mergeCell ref="AD99:AG99"/>
    <mergeCell ref="F98:H98"/>
    <mergeCell ref="I98:P98"/>
    <mergeCell ref="Q100:X100"/>
    <mergeCell ref="Y100:Z100"/>
    <mergeCell ref="AD100:AG100"/>
    <mergeCell ref="F101:H101"/>
    <mergeCell ref="I101:P101"/>
    <mergeCell ref="Q101:X101"/>
    <mergeCell ref="Y101:Z101"/>
    <mergeCell ref="AD101:AG101"/>
    <mergeCell ref="F100:H100"/>
    <mergeCell ref="I100:P100"/>
    <mergeCell ref="Q102:X102"/>
    <mergeCell ref="Y102:Z102"/>
    <mergeCell ref="AD102:AG102"/>
    <mergeCell ref="F103:H103"/>
    <mergeCell ref="I103:P103"/>
    <mergeCell ref="Q103:X103"/>
    <mergeCell ref="Y103:Z103"/>
    <mergeCell ref="AD103:AG103"/>
    <mergeCell ref="F102:H102"/>
    <mergeCell ref="I102:P102"/>
    <mergeCell ref="Q104:X104"/>
    <mergeCell ref="Y104:Z104"/>
    <mergeCell ref="AD104:AG104"/>
    <mergeCell ref="F105:H105"/>
    <mergeCell ref="I105:P105"/>
    <mergeCell ref="Q105:X105"/>
    <mergeCell ref="Y105:Z105"/>
    <mergeCell ref="AD105:AG105"/>
    <mergeCell ref="F104:H104"/>
    <mergeCell ref="I104:P104"/>
    <mergeCell ref="Q106:X106"/>
    <mergeCell ref="Y106:Z106"/>
    <mergeCell ref="AD106:AG106"/>
    <mergeCell ref="F107:H107"/>
    <mergeCell ref="I107:P107"/>
    <mergeCell ref="Q107:X107"/>
    <mergeCell ref="Y107:Z107"/>
    <mergeCell ref="AD107:AG107"/>
    <mergeCell ref="F106:H106"/>
    <mergeCell ref="I106:P106"/>
    <mergeCell ref="Q108:X108"/>
    <mergeCell ref="Y108:Z108"/>
    <mergeCell ref="AD108:AG108"/>
    <mergeCell ref="F109:H109"/>
    <mergeCell ref="I109:P109"/>
    <mergeCell ref="Q109:X109"/>
    <mergeCell ref="Y109:Z109"/>
    <mergeCell ref="AD109:AG109"/>
    <mergeCell ref="F108:H108"/>
    <mergeCell ref="I108:P108"/>
    <mergeCell ref="Q110:X110"/>
    <mergeCell ref="Y110:Z110"/>
    <mergeCell ref="AD110:AG110"/>
    <mergeCell ref="F111:H111"/>
    <mergeCell ref="I111:P111"/>
    <mergeCell ref="Q111:X111"/>
    <mergeCell ref="Y111:Z111"/>
    <mergeCell ref="AD111:AG111"/>
    <mergeCell ref="F110:H110"/>
    <mergeCell ref="I110:P110"/>
    <mergeCell ref="Q112:X112"/>
    <mergeCell ref="Y112:Z112"/>
    <mergeCell ref="AD112:AG112"/>
    <mergeCell ref="F113:H113"/>
    <mergeCell ref="I113:P113"/>
    <mergeCell ref="Q113:X113"/>
    <mergeCell ref="Y113:Z113"/>
    <mergeCell ref="AD113:AG113"/>
    <mergeCell ref="F112:H112"/>
    <mergeCell ref="I112:P112"/>
    <mergeCell ref="Q114:X114"/>
    <mergeCell ref="Y114:Z114"/>
    <mergeCell ref="AD114:AG114"/>
    <mergeCell ref="F115:H115"/>
    <mergeCell ref="I115:P115"/>
    <mergeCell ref="Q115:X115"/>
    <mergeCell ref="Y115:Z115"/>
    <mergeCell ref="AD115:AG115"/>
    <mergeCell ref="F114:H114"/>
    <mergeCell ref="I114:P114"/>
    <mergeCell ref="Q116:X116"/>
    <mergeCell ref="Y116:Z116"/>
    <mergeCell ref="AD116:AG116"/>
    <mergeCell ref="F117:H117"/>
    <mergeCell ref="I117:P117"/>
    <mergeCell ref="Q117:X117"/>
    <mergeCell ref="Y117:Z117"/>
    <mergeCell ref="AD117:AG117"/>
    <mergeCell ref="F116:H116"/>
    <mergeCell ref="I116:P116"/>
    <mergeCell ref="Q118:X118"/>
    <mergeCell ref="Y118:Z118"/>
    <mergeCell ref="AD118:AG118"/>
    <mergeCell ref="F119:H119"/>
    <mergeCell ref="I119:P119"/>
    <mergeCell ref="Q119:X119"/>
    <mergeCell ref="Y119:Z119"/>
    <mergeCell ref="AD119:AG119"/>
    <mergeCell ref="F118:H118"/>
    <mergeCell ref="I118:P118"/>
    <mergeCell ref="I127:P127"/>
    <mergeCell ref="Q127:X127"/>
    <mergeCell ref="Y127:Z127"/>
    <mergeCell ref="AD127:AG127"/>
    <mergeCell ref="F126:H126"/>
    <mergeCell ref="I126:P126"/>
    <mergeCell ref="Q126:X126"/>
    <mergeCell ref="Y126:Z126"/>
    <mergeCell ref="AD126:AG126"/>
    <mergeCell ref="Q120:X120"/>
    <mergeCell ref="Y120:Z120"/>
    <mergeCell ref="AD120:AG120"/>
    <mergeCell ref="F121:H121"/>
    <mergeCell ref="I121:P121"/>
    <mergeCell ref="Q121:X121"/>
    <mergeCell ref="Y121:Z121"/>
    <mergeCell ref="AD121:AG121"/>
    <mergeCell ref="F120:H120"/>
    <mergeCell ref="I120:P120"/>
    <mergeCell ref="Q122:X122"/>
    <mergeCell ref="Y122:Z122"/>
    <mergeCell ref="AD122:AG122"/>
    <mergeCell ref="F123:H123"/>
    <mergeCell ref="I123:P123"/>
    <mergeCell ref="Q123:X123"/>
    <mergeCell ref="Y123:Z123"/>
    <mergeCell ref="AD123:AG123"/>
    <mergeCell ref="F122:H122"/>
    <mergeCell ref="I122:P122"/>
    <mergeCell ref="F131:H131"/>
    <mergeCell ref="AD136:AG136"/>
    <mergeCell ref="F137:H137"/>
    <mergeCell ref="I137:P137"/>
    <mergeCell ref="Q137:X137"/>
    <mergeCell ref="Y137:Z137"/>
    <mergeCell ref="AD137:AG137"/>
    <mergeCell ref="F136:H136"/>
    <mergeCell ref="I136:P136"/>
    <mergeCell ref="Q136:X136"/>
    <mergeCell ref="Y136:Z136"/>
    <mergeCell ref="Y133:Z133"/>
    <mergeCell ref="AD133:AG133"/>
    <mergeCell ref="F128:H128"/>
    <mergeCell ref="I128:P128"/>
    <mergeCell ref="AH47:AI47"/>
    <mergeCell ref="AH48:AI48"/>
    <mergeCell ref="F132:H132"/>
    <mergeCell ref="I132:P132"/>
    <mergeCell ref="I131:P131"/>
    <mergeCell ref="Q131:X131"/>
    <mergeCell ref="Q124:X124"/>
    <mergeCell ref="Y124:Z124"/>
    <mergeCell ref="AD124:AG124"/>
    <mergeCell ref="F125:H125"/>
    <mergeCell ref="I125:P125"/>
    <mergeCell ref="Q125:X125"/>
    <mergeCell ref="Y125:Z125"/>
    <mergeCell ref="AD125:AG125"/>
    <mergeCell ref="F124:H124"/>
    <mergeCell ref="I124:P124"/>
    <mergeCell ref="F127:H127"/>
    <mergeCell ref="AH43:AI43"/>
    <mergeCell ref="AH44:AI44"/>
    <mergeCell ref="AH45:AI45"/>
    <mergeCell ref="AH46:AI46"/>
    <mergeCell ref="AH55:AI55"/>
    <mergeCell ref="AH56:AI56"/>
    <mergeCell ref="AH51:AI51"/>
    <mergeCell ref="AH52:AI52"/>
    <mergeCell ref="AD135:AG135"/>
    <mergeCell ref="F130:H130"/>
    <mergeCell ref="I130:P130"/>
    <mergeCell ref="Q134:X134"/>
    <mergeCell ref="AH59:AI59"/>
    <mergeCell ref="AH60:AI60"/>
    <mergeCell ref="F135:H135"/>
    <mergeCell ref="I135:P135"/>
    <mergeCell ref="AH83:AI83"/>
    <mergeCell ref="AH84:AI84"/>
    <mergeCell ref="Y131:Z131"/>
    <mergeCell ref="AD131:AG131"/>
    <mergeCell ref="Q128:X128"/>
    <mergeCell ref="Y128:Z128"/>
    <mergeCell ref="AD128:AG128"/>
    <mergeCell ref="F129:H129"/>
    <mergeCell ref="I129:P129"/>
    <mergeCell ref="Q129:X129"/>
    <mergeCell ref="Y129:Z129"/>
    <mergeCell ref="AD129:AG129"/>
    <mergeCell ref="Y134:Z134"/>
    <mergeCell ref="AD132:AG132"/>
    <mergeCell ref="F133:H133"/>
    <mergeCell ref="I133:P133"/>
    <mergeCell ref="AH57:AI57"/>
    <mergeCell ref="AH58:AI58"/>
    <mergeCell ref="AH71:AI71"/>
    <mergeCell ref="AH72:AI72"/>
    <mergeCell ref="AH61:AI61"/>
    <mergeCell ref="AH62:AI62"/>
    <mergeCell ref="AH69:AI69"/>
    <mergeCell ref="AH70:AI70"/>
    <mergeCell ref="AH77:AI77"/>
    <mergeCell ref="AH78:AI78"/>
    <mergeCell ref="AH73:AI73"/>
    <mergeCell ref="AH74:AI74"/>
    <mergeCell ref="AH75:AI75"/>
    <mergeCell ref="AH76:AI76"/>
    <mergeCell ref="AH53:AI53"/>
    <mergeCell ref="AH54:AI54"/>
    <mergeCell ref="AH49:AI49"/>
    <mergeCell ref="AH50:AI50"/>
    <mergeCell ref="AH67:AI67"/>
    <mergeCell ref="AH68:AI68"/>
    <mergeCell ref="AH108:AI108"/>
    <mergeCell ref="AH97:AI97"/>
    <mergeCell ref="AH98:AI98"/>
    <mergeCell ref="AH99:AI99"/>
    <mergeCell ref="AH100:AI100"/>
    <mergeCell ref="AH63:AI63"/>
    <mergeCell ref="AH64:AI64"/>
    <mergeCell ref="AH65:AI65"/>
    <mergeCell ref="AH66:AI66"/>
    <mergeCell ref="AH103:AI103"/>
    <mergeCell ref="AH104:AI104"/>
    <mergeCell ref="AH101:AI101"/>
    <mergeCell ref="AH102:AI102"/>
    <mergeCell ref="AH95:AI95"/>
    <mergeCell ref="AH96:AI96"/>
    <mergeCell ref="AH81:AI81"/>
    <mergeCell ref="AH82:AI82"/>
    <mergeCell ref="AH79:AI79"/>
    <mergeCell ref="AH80:AI80"/>
    <mergeCell ref="AH126:AI126"/>
    <mergeCell ref="AH113:AI113"/>
    <mergeCell ref="AH114:AI114"/>
    <mergeCell ref="AH115:AI115"/>
    <mergeCell ref="AH116:AI116"/>
    <mergeCell ref="AH117:AI117"/>
    <mergeCell ref="AH118:AI118"/>
    <mergeCell ref="AH119:AI119"/>
    <mergeCell ref="AH120:AI120"/>
    <mergeCell ref="AH130:AI130"/>
    <mergeCell ref="AH127:AI127"/>
    <mergeCell ref="AH128:AI128"/>
    <mergeCell ref="AH137:AI137"/>
    <mergeCell ref="AH131:AI131"/>
    <mergeCell ref="AH132:AI132"/>
    <mergeCell ref="AH133:AI133"/>
    <mergeCell ref="AH134:AI134"/>
    <mergeCell ref="AH129:AI129"/>
    <mergeCell ref="AH121:AI121"/>
    <mergeCell ref="AH135:AI135"/>
    <mergeCell ref="AH136:AI136"/>
    <mergeCell ref="AH122:AI122"/>
    <mergeCell ref="AH123:AI123"/>
    <mergeCell ref="AH124:AI124"/>
    <mergeCell ref="AJ12:AK12"/>
    <mergeCell ref="AJ13:AK13"/>
    <mergeCell ref="AJ14:AK14"/>
    <mergeCell ref="AJ15:AK15"/>
    <mergeCell ref="AJ16:AK16"/>
    <mergeCell ref="AJ20:AK20"/>
    <mergeCell ref="AH109:AI109"/>
    <mergeCell ref="AH110:AI110"/>
    <mergeCell ref="AH111:AI111"/>
    <mergeCell ref="AH112:AI112"/>
    <mergeCell ref="AJ55:AK55"/>
    <mergeCell ref="AJ21:AK21"/>
    <mergeCell ref="AJ22:AK22"/>
    <mergeCell ref="AJ23:AK23"/>
    <mergeCell ref="AJ24:AK24"/>
    <mergeCell ref="AJ25:AK25"/>
    <mergeCell ref="AH125:AI125"/>
    <mergeCell ref="AH91:AI91"/>
    <mergeCell ref="AH92:AI92"/>
    <mergeCell ref="AJ26:AK26"/>
    <mergeCell ref="AJ27:AK27"/>
    <mergeCell ref="AH85:AI85"/>
    <mergeCell ref="AH86:AI86"/>
    <mergeCell ref="AH87:AI87"/>
    <mergeCell ref="AH88:AI88"/>
    <mergeCell ref="AH89:AI89"/>
    <mergeCell ref="AH90:AI90"/>
    <mergeCell ref="AH105:AI105"/>
    <mergeCell ref="AH106:AI106"/>
    <mergeCell ref="AH93:AI93"/>
    <mergeCell ref="AH94:AI94"/>
    <mergeCell ref="AH107:AI107"/>
    <mergeCell ref="AJ60:AK60"/>
    <mergeCell ref="AJ61:AK61"/>
    <mergeCell ref="AJ62:AK62"/>
    <mergeCell ref="AJ63:AK63"/>
    <mergeCell ref="AJ64:AK64"/>
    <mergeCell ref="AJ65:AK65"/>
    <mergeCell ref="AJ17:AK17"/>
    <mergeCell ref="AJ18:AK18"/>
    <mergeCell ref="AJ19:AK19"/>
    <mergeCell ref="AJ57:AK57"/>
    <mergeCell ref="AJ58:AK58"/>
    <mergeCell ref="AJ59:AK59"/>
    <mergeCell ref="AJ48:AK48"/>
    <mergeCell ref="AJ49:AK49"/>
    <mergeCell ref="AJ50:AK50"/>
    <mergeCell ref="AJ51:AK51"/>
    <mergeCell ref="AJ28:AK28"/>
    <mergeCell ref="AJ29:AK29"/>
    <mergeCell ref="AJ30:AK30"/>
    <mergeCell ref="AJ31:AK31"/>
    <mergeCell ref="AJ56:AK56"/>
    <mergeCell ref="AJ39:AK39"/>
    <mergeCell ref="AJ40:AK40"/>
    <mergeCell ref="AJ41:AK41"/>
    <mergeCell ref="AJ42:AK42"/>
    <mergeCell ref="AJ43:AK43"/>
    <mergeCell ref="AJ46:AK46"/>
    <mergeCell ref="AJ47:AK47"/>
    <mergeCell ref="AJ54:AK54"/>
    <mergeCell ref="AJ52:AK52"/>
    <mergeCell ref="AJ53:AK53"/>
    <mergeCell ref="AJ32:AK32"/>
    <mergeCell ref="AJ33:AK33"/>
    <mergeCell ref="AJ44:AK44"/>
    <mergeCell ref="AJ45:AK45"/>
    <mergeCell ref="AJ38:AK38"/>
    <mergeCell ref="AJ35:AK35"/>
    <mergeCell ref="AJ36:AK36"/>
    <mergeCell ref="AJ37:AK37"/>
    <mergeCell ref="AJ34:AK34"/>
    <mergeCell ref="AJ74:AK74"/>
    <mergeCell ref="AJ104:AK104"/>
    <mergeCell ref="AJ105:AK105"/>
    <mergeCell ref="AJ106:AK106"/>
    <mergeCell ref="AJ107:AK107"/>
    <mergeCell ref="AJ108:AK108"/>
    <mergeCell ref="AJ88:AK88"/>
    <mergeCell ref="AJ89:AK89"/>
    <mergeCell ref="AJ90:AK90"/>
    <mergeCell ref="AJ91:AK91"/>
    <mergeCell ref="AJ66:AK66"/>
    <mergeCell ref="AJ67:AK67"/>
    <mergeCell ref="AJ68:AK68"/>
    <mergeCell ref="AJ69:AK69"/>
    <mergeCell ref="AJ70:AK70"/>
    <mergeCell ref="AJ71:AK71"/>
    <mergeCell ref="AJ72:AK72"/>
    <mergeCell ref="AJ73:AK73"/>
    <mergeCell ref="AJ92:AK92"/>
    <mergeCell ref="AJ75:AK75"/>
    <mergeCell ref="AJ76:AK76"/>
    <mergeCell ref="AJ77:AK77"/>
    <mergeCell ref="AJ78:AK78"/>
    <mergeCell ref="AJ79:AK79"/>
    <mergeCell ref="AJ80:AK80"/>
    <mergeCell ref="AJ81:AK81"/>
    <mergeCell ref="AJ82:AK82"/>
    <mergeCell ref="AJ83:AK83"/>
    <mergeCell ref="AJ84:AK84"/>
    <mergeCell ref="AJ85:AK85"/>
    <mergeCell ref="AJ86:AK86"/>
    <mergeCell ref="AJ87:AK87"/>
    <mergeCell ref="AJ111:AK111"/>
    <mergeCell ref="AJ112:AK112"/>
    <mergeCell ref="AJ113:AK113"/>
    <mergeCell ref="AJ114:AK114"/>
    <mergeCell ref="AJ115:AK115"/>
    <mergeCell ref="AJ124:AK124"/>
    <mergeCell ref="AJ125:AK125"/>
    <mergeCell ref="AJ126:AK126"/>
    <mergeCell ref="AJ127:AK127"/>
    <mergeCell ref="AJ110:AK110"/>
    <mergeCell ref="AJ93:AK93"/>
    <mergeCell ref="AJ94:AK94"/>
    <mergeCell ref="AJ95:AK95"/>
    <mergeCell ref="AJ96:AK96"/>
    <mergeCell ref="AJ97:AK97"/>
    <mergeCell ref="AJ109:AK109"/>
    <mergeCell ref="AJ98:AK98"/>
    <mergeCell ref="AJ99:AK99"/>
    <mergeCell ref="AJ100:AK100"/>
    <mergeCell ref="AJ101:AK101"/>
    <mergeCell ref="AJ102:AK102"/>
    <mergeCell ref="AJ103:AK103"/>
    <mergeCell ref="AJ159:AK159"/>
    <mergeCell ref="AJ160:AK160"/>
    <mergeCell ref="AJ161:AK161"/>
    <mergeCell ref="AJ162:AK162"/>
    <mergeCell ref="AJ152:AK152"/>
    <mergeCell ref="AJ153:AK153"/>
    <mergeCell ref="AJ156:AK156"/>
    <mergeCell ref="AJ157:AK157"/>
    <mergeCell ref="AJ158:AK158"/>
    <mergeCell ref="AJ116:AK116"/>
    <mergeCell ref="AJ117:AK117"/>
    <mergeCell ref="AJ118:AK118"/>
    <mergeCell ref="AJ119:AK119"/>
    <mergeCell ref="AJ154:AK154"/>
    <mergeCell ref="AJ155:AK155"/>
    <mergeCell ref="AJ150:AK150"/>
    <mergeCell ref="AJ151:AK151"/>
    <mergeCell ref="AJ144:AK144"/>
    <mergeCell ref="AJ145:AK145"/>
    <mergeCell ref="AJ120:AK120"/>
    <mergeCell ref="AJ121:AK121"/>
    <mergeCell ref="AJ122:AK122"/>
    <mergeCell ref="AJ123:AK123"/>
    <mergeCell ref="AJ128:AK128"/>
    <mergeCell ref="D142:E142"/>
    <mergeCell ref="D143:E143"/>
    <mergeCell ref="AJ143:AK143"/>
    <mergeCell ref="AJ134:AK134"/>
    <mergeCell ref="AJ135:AK135"/>
    <mergeCell ref="AJ136:AK136"/>
    <mergeCell ref="AJ137:AK137"/>
    <mergeCell ref="AJ130:AK130"/>
    <mergeCell ref="AJ131:AK131"/>
    <mergeCell ref="AJ132:AK132"/>
    <mergeCell ref="AJ133:AK133"/>
    <mergeCell ref="AJ146:AK146"/>
    <mergeCell ref="AJ129:AK129"/>
    <mergeCell ref="AJ147:AK147"/>
    <mergeCell ref="AJ148:AK148"/>
    <mergeCell ref="AJ149:AK149"/>
    <mergeCell ref="AJ138:AK138"/>
    <mergeCell ref="AJ139:AK139"/>
    <mergeCell ref="AJ140:AK140"/>
    <mergeCell ref="AJ141:AK141"/>
    <mergeCell ref="AJ142:AK142"/>
    <mergeCell ref="F134:H134"/>
    <mergeCell ref="I134:P134"/>
    <mergeCell ref="AD134:AG134"/>
    <mergeCell ref="Q133:X133"/>
    <mergeCell ref="Q135:X135"/>
    <mergeCell ref="Y135:Z135"/>
    <mergeCell ref="Q130:X130"/>
    <mergeCell ref="Y130:Z130"/>
    <mergeCell ref="Q132:X132"/>
    <mergeCell ref="Y132:Z132"/>
    <mergeCell ref="AD130:AG130"/>
    <mergeCell ref="D162:E162"/>
    <mergeCell ref="F150:H150"/>
    <mergeCell ref="F151:H151"/>
    <mergeCell ref="F138:H138"/>
    <mergeCell ref="F139:H139"/>
    <mergeCell ref="F140:H140"/>
    <mergeCell ref="F141:H141"/>
    <mergeCell ref="F142:H142"/>
    <mergeCell ref="F143:H143"/>
    <mergeCell ref="F144:H144"/>
    <mergeCell ref="D156:E156"/>
    <mergeCell ref="D157:E157"/>
    <mergeCell ref="D158:E158"/>
    <mergeCell ref="D159:E159"/>
    <mergeCell ref="D160:E160"/>
    <mergeCell ref="D161:E161"/>
    <mergeCell ref="D152:E152"/>
    <mergeCell ref="D153:E153"/>
    <mergeCell ref="D154:E154"/>
    <mergeCell ref="D144:E144"/>
    <mergeCell ref="D145:E145"/>
    <mergeCell ref="D155:E155"/>
    <mergeCell ref="D146:E146"/>
    <mergeCell ref="D147:E147"/>
    <mergeCell ref="D148:E148"/>
    <mergeCell ref="D149:E149"/>
    <mergeCell ref="D150:E150"/>
    <mergeCell ref="D151:E151"/>
    <mergeCell ref="D138:E138"/>
    <mergeCell ref="D139:E139"/>
    <mergeCell ref="D140:E140"/>
    <mergeCell ref="D141:E141"/>
    <mergeCell ref="F162:H162"/>
    <mergeCell ref="I138:P138"/>
    <mergeCell ref="I139:P139"/>
    <mergeCell ref="I140:P140"/>
    <mergeCell ref="I141:P141"/>
    <mergeCell ref="I142:P142"/>
    <mergeCell ref="I143:P143"/>
    <mergeCell ref="I144:P144"/>
    <mergeCell ref="I159:P159"/>
    <mergeCell ref="I160:P160"/>
    <mergeCell ref="F155:H155"/>
    <mergeCell ref="F156:H156"/>
    <mergeCell ref="F157:H157"/>
    <mergeCell ref="F152:H152"/>
    <mergeCell ref="F153:H153"/>
    <mergeCell ref="Q147:X147"/>
    <mergeCell ref="Q148:X148"/>
    <mergeCell ref="Q153:X153"/>
    <mergeCell ref="Q154:X154"/>
    <mergeCell ref="I151:P151"/>
    <mergeCell ref="F145:H145"/>
    <mergeCell ref="F158:H158"/>
    <mergeCell ref="F159:H159"/>
    <mergeCell ref="F160:H160"/>
    <mergeCell ref="F161:H161"/>
    <mergeCell ref="F146:H146"/>
    <mergeCell ref="F147:H147"/>
    <mergeCell ref="F148:H148"/>
    <mergeCell ref="F149:H149"/>
    <mergeCell ref="F154:H154"/>
    <mergeCell ref="I158:P158"/>
    <mergeCell ref="I161:P161"/>
    <mergeCell ref="I162:P162"/>
    <mergeCell ref="Y160:Z160"/>
    <mergeCell ref="Q158:X158"/>
    <mergeCell ref="Q159:X159"/>
    <mergeCell ref="Y162:Z162"/>
    <mergeCell ref="Y158:Z158"/>
    <mergeCell ref="I152:P152"/>
    <mergeCell ref="I153:P153"/>
    <mergeCell ref="I154:P154"/>
    <mergeCell ref="I155:P155"/>
    <mergeCell ref="I156:P156"/>
    <mergeCell ref="I157:P157"/>
    <mergeCell ref="I145:P145"/>
    <mergeCell ref="I146:P146"/>
    <mergeCell ref="I147:P147"/>
    <mergeCell ref="I148:P148"/>
    <mergeCell ref="I149:P149"/>
    <mergeCell ref="I150:P150"/>
    <mergeCell ref="Y154:Z154"/>
    <mergeCell ref="Y155:Z155"/>
    <mergeCell ref="Y156:Z156"/>
    <mergeCell ref="Y157:Z157"/>
    <mergeCell ref="Q155:X155"/>
    <mergeCell ref="Q156:X156"/>
    <mergeCell ref="Q157:X157"/>
    <mergeCell ref="Q138:X138"/>
    <mergeCell ref="Q139:X139"/>
    <mergeCell ref="Q140:X140"/>
    <mergeCell ref="Q141:X141"/>
    <mergeCell ref="Q142:X142"/>
    <mergeCell ref="Q143:X143"/>
    <mergeCell ref="Y150:Z150"/>
    <mergeCell ref="Y151:Z151"/>
    <mergeCell ref="Y152:Z152"/>
    <mergeCell ref="Y153:Z153"/>
    <mergeCell ref="Y142:Z142"/>
    <mergeCell ref="Y143:Z143"/>
    <mergeCell ref="Y144:Z144"/>
    <mergeCell ref="Y145:Z145"/>
    <mergeCell ref="Y146:Z146"/>
    <mergeCell ref="Y147:Z147"/>
    <mergeCell ref="Y148:Z148"/>
    <mergeCell ref="Y149:Z149"/>
    <mergeCell ref="Y138:Z138"/>
    <mergeCell ref="Y139:Z139"/>
    <mergeCell ref="Y140:Z140"/>
    <mergeCell ref="Y141:Z141"/>
    <mergeCell ref="AH162:AI162"/>
    <mergeCell ref="Q160:X160"/>
    <mergeCell ref="Q161:X161"/>
    <mergeCell ref="Y159:Z159"/>
    <mergeCell ref="Q162:X162"/>
    <mergeCell ref="AD162:AG162"/>
    <mergeCell ref="AD157:AG157"/>
    <mergeCell ref="AD146:AG146"/>
    <mergeCell ref="AD147:AG147"/>
    <mergeCell ref="AD148:AG148"/>
    <mergeCell ref="AD149:AG149"/>
    <mergeCell ref="AD150:AG150"/>
    <mergeCell ref="AD151:AG151"/>
    <mergeCell ref="AD152:AG152"/>
    <mergeCell ref="AD153:AG153"/>
    <mergeCell ref="AD156:AG156"/>
    <mergeCell ref="Q144:X144"/>
    <mergeCell ref="Q149:X149"/>
    <mergeCell ref="Q150:X150"/>
    <mergeCell ref="Q151:X151"/>
    <mergeCell ref="Q152:X152"/>
    <mergeCell ref="Q145:X145"/>
    <mergeCell ref="Q146:X146"/>
    <mergeCell ref="AD159:AG159"/>
    <mergeCell ref="AD160:AG160"/>
    <mergeCell ref="AD161:AG161"/>
    <mergeCell ref="Y161:Z161"/>
    <mergeCell ref="AH144:AI144"/>
    <mergeCell ref="AH145:AI145"/>
    <mergeCell ref="AH155:AI155"/>
    <mergeCell ref="AH156:AI156"/>
    <mergeCell ref="AH157:AI157"/>
    <mergeCell ref="AH159:AI159"/>
    <mergeCell ref="AH160:AI160"/>
    <mergeCell ref="AH161:AI161"/>
    <mergeCell ref="AH148:AI148"/>
    <mergeCell ref="AH149:AI149"/>
    <mergeCell ref="AH150:AI150"/>
    <mergeCell ref="AH151:AI151"/>
    <mergeCell ref="AD154:AG154"/>
    <mergeCell ref="AD155:AG155"/>
    <mergeCell ref="AH154:AI154"/>
    <mergeCell ref="AH143:AI143"/>
    <mergeCell ref="AD144:AG144"/>
    <mergeCell ref="AD145:AG145"/>
    <mergeCell ref="AD138:AG138"/>
    <mergeCell ref="AD139:AG139"/>
    <mergeCell ref="AD140:AG140"/>
    <mergeCell ref="AD141:AG141"/>
    <mergeCell ref="AD142:AG142"/>
    <mergeCell ref="AD143:AG143"/>
    <mergeCell ref="AH158:AI158"/>
    <mergeCell ref="AH152:AI152"/>
    <mergeCell ref="AH153:AI153"/>
    <mergeCell ref="AH146:AI146"/>
    <mergeCell ref="AH147:AI147"/>
    <mergeCell ref="AH138:AI138"/>
    <mergeCell ref="AH139:AI139"/>
    <mergeCell ref="AH140:AI140"/>
    <mergeCell ref="AH141:AI141"/>
    <mergeCell ref="AH142:AI142"/>
    <mergeCell ref="AD158:AG158"/>
    <mergeCell ref="D183:E183"/>
    <mergeCell ref="F183:H183"/>
    <mergeCell ref="I183:P183"/>
    <mergeCell ref="Q183:X183"/>
    <mergeCell ref="Y183:Z183"/>
    <mergeCell ref="AD183:AG183"/>
    <mergeCell ref="AH183:AI183"/>
    <mergeCell ref="D184:E184"/>
    <mergeCell ref="F184:H184"/>
    <mergeCell ref="I184:P184"/>
    <mergeCell ref="Q184:X184"/>
    <mergeCell ref="Y184:Z184"/>
    <mergeCell ref="AD184:AG184"/>
    <mergeCell ref="AH184:AI184"/>
    <mergeCell ref="D185:E185"/>
    <mergeCell ref="F185:H185"/>
    <mergeCell ref="I185:P185"/>
    <mergeCell ref="Q185:X185"/>
    <mergeCell ref="Y185:Z185"/>
    <mergeCell ref="AD185:AG185"/>
    <mergeCell ref="AH185:AI185"/>
    <mergeCell ref="D186:E186"/>
    <mergeCell ref="F186:H186"/>
    <mergeCell ref="I186:P186"/>
    <mergeCell ref="Q186:X186"/>
    <mergeCell ref="Y186:Z186"/>
    <mergeCell ref="AD186:AG186"/>
    <mergeCell ref="AH186:AI186"/>
    <mergeCell ref="D187:E187"/>
    <mergeCell ref="F187:H187"/>
    <mergeCell ref="I187:P187"/>
    <mergeCell ref="Q187:X187"/>
    <mergeCell ref="Y187:Z187"/>
    <mergeCell ref="AD187:AG187"/>
    <mergeCell ref="AH187:AI187"/>
    <mergeCell ref="D188:E188"/>
    <mergeCell ref="F188:H188"/>
    <mergeCell ref="I188:P188"/>
    <mergeCell ref="Q188:X188"/>
    <mergeCell ref="Y188:Z188"/>
    <mergeCell ref="AD188:AG188"/>
    <mergeCell ref="AH188:AI188"/>
    <mergeCell ref="D189:E189"/>
    <mergeCell ref="F189:H189"/>
    <mergeCell ref="I189:P189"/>
    <mergeCell ref="Q189:X189"/>
    <mergeCell ref="Y189:Z189"/>
    <mergeCell ref="AD189:AG189"/>
    <mergeCell ref="AH189:AI189"/>
    <mergeCell ref="D190:E190"/>
    <mergeCell ref="F190:H190"/>
    <mergeCell ref="I190:P190"/>
    <mergeCell ref="Q190:X190"/>
    <mergeCell ref="Y190:Z190"/>
    <mergeCell ref="AD190:AG190"/>
    <mergeCell ref="AH190:AI190"/>
    <mergeCell ref="D191:E191"/>
    <mergeCell ref="F191:H191"/>
    <mergeCell ref="I191:P191"/>
    <mergeCell ref="Q191:X191"/>
    <mergeCell ref="Y191:Z191"/>
    <mergeCell ref="AD191:AG191"/>
    <mergeCell ref="AH191:AI191"/>
    <mergeCell ref="D192:E192"/>
    <mergeCell ref="F192:H192"/>
    <mergeCell ref="I192:P192"/>
    <mergeCell ref="Q192:X192"/>
    <mergeCell ref="Y192:Z192"/>
    <mergeCell ref="AD192:AG192"/>
    <mergeCell ref="AH192:AI192"/>
    <mergeCell ref="D193:E193"/>
    <mergeCell ref="F193:H193"/>
    <mergeCell ref="I193:P193"/>
    <mergeCell ref="Q193:X193"/>
    <mergeCell ref="Y193:Z193"/>
    <mergeCell ref="AD193:AG193"/>
    <mergeCell ref="AH193:AI193"/>
    <mergeCell ref="D194:E194"/>
    <mergeCell ref="F194:H194"/>
    <mergeCell ref="I194:P194"/>
    <mergeCell ref="Q194:X194"/>
    <mergeCell ref="Y194:Z194"/>
    <mergeCell ref="AD194:AG194"/>
    <mergeCell ref="AH194:AI194"/>
    <mergeCell ref="D195:E195"/>
    <mergeCell ref="F195:H195"/>
    <mergeCell ref="I195:P195"/>
    <mergeCell ref="Q195:X195"/>
    <mergeCell ref="Y195:Z195"/>
    <mergeCell ref="AD195:AG195"/>
    <mergeCell ref="AH195:AI195"/>
    <mergeCell ref="D196:E196"/>
    <mergeCell ref="F196:H196"/>
    <mergeCell ref="I196:P196"/>
    <mergeCell ref="Q196:X196"/>
    <mergeCell ref="Y196:Z196"/>
    <mergeCell ref="AD196:AG196"/>
    <mergeCell ref="AH196:AI196"/>
    <mergeCell ref="D197:E197"/>
    <mergeCell ref="F197:H197"/>
    <mergeCell ref="I197:P197"/>
    <mergeCell ref="Q197:X197"/>
    <mergeCell ref="Y197:Z197"/>
    <mergeCell ref="AD197:AG197"/>
    <mergeCell ref="AH197:AI197"/>
    <mergeCell ref="D198:E198"/>
    <mergeCell ref="F198:H198"/>
    <mergeCell ref="I198:P198"/>
    <mergeCell ref="Q198:X198"/>
    <mergeCell ref="Y198:Z198"/>
    <mergeCell ref="AD198:AG198"/>
    <mergeCell ref="AH198:AI198"/>
    <mergeCell ref="D199:E199"/>
    <mergeCell ref="F199:H199"/>
    <mergeCell ref="I199:P199"/>
    <mergeCell ref="Q199:X199"/>
    <mergeCell ref="Y199:Z199"/>
    <mergeCell ref="AD199:AG199"/>
    <mergeCell ref="AH199:AI199"/>
    <mergeCell ref="D200:E200"/>
    <mergeCell ref="F200:H200"/>
    <mergeCell ref="I200:P200"/>
    <mergeCell ref="Q200:X200"/>
    <mergeCell ref="Y200:Z200"/>
    <mergeCell ref="AD200:AG200"/>
    <mergeCell ref="AH200:AI200"/>
    <mergeCell ref="D201:E201"/>
    <mergeCell ref="F201:H201"/>
    <mergeCell ref="I201:P201"/>
    <mergeCell ref="Q201:X201"/>
    <mergeCell ref="Y201:Z201"/>
    <mergeCell ref="AD201:AG201"/>
    <mergeCell ref="AH201:AI201"/>
    <mergeCell ref="D202:E202"/>
    <mergeCell ref="F202:H202"/>
    <mergeCell ref="I202:P202"/>
    <mergeCell ref="Q202:X202"/>
    <mergeCell ref="Y202:Z202"/>
    <mergeCell ref="AD202:AG202"/>
    <mergeCell ref="AH202:AI202"/>
    <mergeCell ref="D203:E203"/>
    <mergeCell ref="F203:H203"/>
    <mergeCell ref="I203:P203"/>
    <mergeCell ref="Q203:X203"/>
    <mergeCell ref="Y203:Z203"/>
    <mergeCell ref="AD203:AG203"/>
    <mergeCell ref="AH203:AI203"/>
    <mergeCell ref="D204:E204"/>
    <mergeCell ref="F204:H204"/>
    <mergeCell ref="I204:P204"/>
    <mergeCell ref="Q204:X204"/>
    <mergeCell ref="Y204:Z204"/>
    <mergeCell ref="AD204:AG204"/>
    <mergeCell ref="AH204:AI204"/>
    <mergeCell ref="D205:E205"/>
    <mergeCell ref="F205:H205"/>
    <mergeCell ref="I205:P205"/>
    <mergeCell ref="Q205:X205"/>
    <mergeCell ref="Y205:Z205"/>
    <mergeCell ref="AD205:AG205"/>
    <mergeCell ref="AH205:AI205"/>
    <mergeCell ref="D206:E206"/>
    <mergeCell ref="F206:H206"/>
    <mergeCell ref="I206:P206"/>
    <mergeCell ref="Q206:X206"/>
    <mergeCell ref="Y206:Z206"/>
    <mergeCell ref="AD206:AG206"/>
    <mergeCell ref="AH206:AI206"/>
    <mergeCell ref="D207:E207"/>
    <mergeCell ref="F207:H207"/>
    <mergeCell ref="I207:P207"/>
    <mergeCell ref="Q207:X207"/>
    <mergeCell ref="Y207:Z207"/>
    <mergeCell ref="AD207:AG207"/>
    <mergeCell ref="AH207:AI207"/>
    <mergeCell ref="D208:E208"/>
    <mergeCell ref="F208:H208"/>
    <mergeCell ref="I208:P208"/>
    <mergeCell ref="Q208:X208"/>
    <mergeCell ref="Y208:Z208"/>
    <mergeCell ref="AD208:AG208"/>
    <mergeCell ref="AH208:AI208"/>
    <mergeCell ref="D209:E209"/>
    <mergeCell ref="F209:H209"/>
    <mergeCell ref="I209:P209"/>
    <mergeCell ref="Q209:X209"/>
    <mergeCell ref="Y209:Z209"/>
    <mergeCell ref="AD209:AG209"/>
    <mergeCell ref="AH209:AI209"/>
    <mergeCell ref="D210:E210"/>
    <mergeCell ref="F210:H210"/>
    <mergeCell ref="I210:P210"/>
    <mergeCell ref="Q210:X210"/>
    <mergeCell ref="Y210:Z210"/>
    <mergeCell ref="AD210:AG210"/>
    <mergeCell ref="AH210:AI210"/>
    <mergeCell ref="D211:E211"/>
    <mergeCell ref="F211:H211"/>
    <mergeCell ref="I211:P211"/>
    <mergeCell ref="Q211:X211"/>
    <mergeCell ref="Y211:Z211"/>
    <mergeCell ref="AD211:AG211"/>
    <mergeCell ref="AH211:AI211"/>
    <mergeCell ref="D212:E212"/>
    <mergeCell ref="F212:H212"/>
    <mergeCell ref="I212:P212"/>
    <mergeCell ref="Q212:X212"/>
    <mergeCell ref="Y212:Z212"/>
    <mergeCell ref="AD212:AG212"/>
    <mergeCell ref="AH212:AI212"/>
  </mergeCells>
  <phoneticPr fontId="0" type="noConversion"/>
  <dataValidations count="1">
    <dataValidation type="list" allowBlank="1" showInputMessage="1" showErrorMessage="1" errorTitle="ERROR" error="If gear size has been validated enter select Gear, DNS for non-starters, DNF for non-finishers, otherwise leave blank." sqref="AH13:AI212" xr:uid="{00000000-0002-0000-0500-000000000000}">
      <formula1>"Gear,DNS,DNF"</formula1>
    </dataValidation>
  </dataValidations>
  <pageMargins left="0.55118110236220474" right="0.55118110236220474" top="0.59055118110236227"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3" tint="0.39997558519241921"/>
  </sheetPr>
  <dimension ref="A1:AO212"/>
  <sheetViews>
    <sheetView showGridLines="0" tabSelected="1" topLeftCell="B49" zoomScaleNormal="100" workbookViewId="0">
      <selection activeCell="B1" sqref="B1:AJ65"/>
    </sheetView>
  </sheetViews>
  <sheetFormatPr defaultRowHeight="13.15"/>
  <cols>
    <col min="1" max="1" width="4.7109375" hidden="1" customWidth="1"/>
    <col min="2" max="2" width="4.5703125" customWidth="1"/>
    <col min="3" max="3" width="3.7109375" customWidth="1"/>
    <col min="4" max="6" width="2.7109375" customWidth="1"/>
    <col min="7" max="7" width="1.85546875" customWidth="1"/>
    <col min="8" max="9" width="2.7109375" customWidth="1"/>
    <col min="10" max="10" width="2.28515625" customWidth="1"/>
    <col min="11" max="16" width="2.7109375" customWidth="1"/>
    <col min="17" max="17" width="4.140625" customWidth="1"/>
    <col min="18" max="18" width="3.85546875" customWidth="1"/>
    <col min="19" max="19" width="8.7109375" hidden="1" customWidth="1"/>
    <col min="20" max="22" width="2.7109375" customWidth="1"/>
    <col min="23" max="23" width="1.5703125" customWidth="1"/>
    <col min="24" max="25" width="2.7109375" customWidth="1"/>
    <col min="26" max="26" width="1.7109375" customWidth="1"/>
    <col min="27" max="27" width="1.85546875" customWidth="1"/>
    <col min="28" max="30" width="2.7109375" customWidth="1"/>
    <col min="31" max="31" width="1.7109375" customWidth="1"/>
    <col min="32" max="32" width="2.7109375" customWidth="1"/>
    <col min="33" max="33" width="1.7109375" customWidth="1"/>
    <col min="34" max="34" width="7.28515625" customWidth="1"/>
    <col min="35" max="35" width="1.5703125" customWidth="1"/>
    <col min="36" max="55" width="2.7109375" customWidth="1"/>
  </cols>
  <sheetData>
    <row r="1" spans="1:41" ht="56.25" customHeight="1">
      <c r="A1" s="28"/>
      <c r="B1" s="28"/>
      <c r="C1" s="28"/>
      <c r="D1" s="28"/>
      <c r="E1" s="28"/>
      <c r="F1" s="332" t="s">
        <v>102</v>
      </c>
      <c r="G1" s="332"/>
      <c r="H1" s="332"/>
      <c r="I1" s="332"/>
      <c r="J1" s="332"/>
      <c r="K1" s="332"/>
      <c r="L1" s="332"/>
      <c r="M1" s="332"/>
      <c r="N1" s="332"/>
      <c r="O1" s="332"/>
      <c r="P1" s="332"/>
      <c r="Q1" s="332"/>
      <c r="R1" s="332"/>
      <c r="S1" s="332"/>
      <c r="T1" s="332"/>
      <c r="U1" s="332"/>
      <c r="V1" s="332"/>
      <c r="W1" s="332"/>
      <c r="X1" s="332"/>
      <c r="Y1" s="332"/>
      <c r="Z1" s="332"/>
      <c r="AA1" s="332"/>
      <c r="AB1" s="332"/>
      <c r="AC1" s="28"/>
      <c r="AD1" s="28"/>
      <c r="AE1" s="28"/>
      <c r="AF1" s="28"/>
      <c r="AG1" s="28"/>
      <c r="AH1" s="28"/>
      <c r="AO1" s="7"/>
    </row>
    <row r="2" spans="1:41" ht="12.75" customHeight="1">
      <c r="A2" s="28"/>
      <c r="B2" s="28"/>
      <c r="C2" s="28"/>
      <c r="D2" s="28"/>
      <c r="E2" s="28"/>
      <c r="F2" s="28"/>
      <c r="G2" s="66"/>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1:41">
      <c r="A3" s="28"/>
      <c r="B3" s="28"/>
      <c r="C3" s="28"/>
      <c r="D3" s="28"/>
      <c r="F3" s="3" t="s">
        <v>90</v>
      </c>
      <c r="H3" s="322" t="str">
        <f>(IF(FacingSheet!B8="","",FacingSheet!B8))</f>
        <v>Ronnie MacDonald 10 mile TT</v>
      </c>
      <c r="I3" s="322"/>
      <c r="J3" s="322"/>
      <c r="K3" s="322"/>
      <c r="L3" s="322"/>
      <c r="M3" s="322"/>
      <c r="N3" s="322"/>
      <c r="O3" s="322"/>
      <c r="P3" s="322"/>
      <c r="V3" s="3" t="s">
        <v>26</v>
      </c>
      <c r="X3" s="322" t="str">
        <f>(IF(FacingSheet!B14="","",FacingSheet!B14))</f>
        <v/>
      </c>
      <c r="Y3" s="322"/>
      <c r="Z3" s="322"/>
      <c r="AA3" s="322"/>
      <c r="AB3" s="322"/>
      <c r="AC3" s="322"/>
      <c r="AD3" s="322"/>
      <c r="AE3" s="322"/>
      <c r="AF3" s="322"/>
      <c r="AG3" s="28"/>
      <c r="AH3" s="28"/>
    </row>
    <row r="4" spans="1:41">
      <c r="A4" s="28"/>
      <c r="B4" s="28"/>
      <c r="C4" s="28"/>
      <c r="D4" s="28"/>
      <c r="F4" s="3" t="s">
        <v>91</v>
      </c>
      <c r="H4" s="323">
        <f>IF(ISERROR(FacingSheet!S9),"",FacingSheet!S9)</f>
        <v>45907</v>
      </c>
      <c r="I4" s="324"/>
      <c r="J4" s="324"/>
      <c r="K4" s="324"/>
      <c r="L4" s="324"/>
      <c r="M4" s="324"/>
      <c r="N4" s="324"/>
      <c r="O4" s="324"/>
      <c r="P4" s="324"/>
      <c r="V4" s="34" t="s">
        <v>24</v>
      </c>
      <c r="X4" s="322" t="str">
        <f>(IF(FacingSheet!B13="","",FacingSheet!B13))</f>
        <v>A9</v>
      </c>
      <c r="Y4" s="322"/>
      <c r="Z4" s="322"/>
      <c r="AA4" s="322"/>
      <c r="AB4" s="322"/>
      <c r="AC4" s="322"/>
      <c r="AD4" s="322"/>
      <c r="AE4" s="322"/>
      <c r="AF4" s="322"/>
      <c r="AG4" s="28"/>
      <c r="AH4" s="28"/>
    </row>
    <row r="5" spans="1:41">
      <c r="A5" s="28"/>
      <c r="B5" s="28"/>
      <c r="C5" s="28"/>
      <c r="D5" s="28"/>
      <c r="F5" s="34" t="s">
        <v>92</v>
      </c>
      <c r="H5" s="324">
        <f>IF(FacingSheet!B11="",FacingSheet!B12,FacingSheet!B11)</f>
        <v>10</v>
      </c>
      <c r="I5" s="324"/>
      <c r="J5" s="93" t="s">
        <v>93</v>
      </c>
      <c r="K5" s="44"/>
      <c r="L5" s="44"/>
      <c r="M5" s="44"/>
      <c r="N5" s="44"/>
      <c r="O5" s="44"/>
      <c r="P5" s="44"/>
      <c r="V5" s="3" t="s">
        <v>30</v>
      </c>
      <c r="X5" s="322" t="str">
        <f>(IF(FacingSheet!B17="","",FacingSheet!B17))</f>
        <v>Gavin Clarke</v>
      </c>
      <c r="Y5" s="322"/>
      <c r="Z5" s="322"/>
      <c r="AA5" s="322"/>
      <c r="AB5" s="322"/>
      <c r="AC5" s="322"/>
      <c r="AD5" s="322"/>
      <c r="AE5" s="322"/>
      <c r="AF5" s="322"/>
      <c r="AG5" s="28"/>
      <c r="AH5" s="28"/>
    </row>
    <row r="6" spans="1:41">
      <c r="A6" s="28"/>
      <c r="B6" s="28"/>
      <c r="C6" s="28"/>
      <c r="D6" s="28"/>
      <c r="F6" s="34" t="s">
        <v>27</v>
      </c>
      <c r="H6" s="321" t="str">
        <f>(IF(FacingSheet!B15="","",FacingSheet!B15))</f>
        <v>James Robertson</v>
      </c>
      <c r="I6" s="321"/>
      <c r="J6" s="321"/>
      <c r="K6" s="321"/>
      <c r="L6" s="321"/>
      <c r="M6" s="321"/>
      <c r="N6" s="321"/>
      <c r="O6" s="321"/>
      <c r="P6" s="321"/>
      <c r="V6" s="34" t="s">
        <v>94</v>
      </c>
      <c r="X6" s="321">
        <f>(IF(FacingSheet!B16="","",FacingSheet!B16))</f>
        <v>7713506988</v>
      </c>
      <c r="Y6" s="321"/>
      <c r="Z6" s="321"/>
      <c r="AA6" s="321"/>
      <c r="AB6" s="321"/>
      <c r="AC6" s="321"/>
      <c r="AD6" s="321"/>
      <c r="AE6" s="321"/>
      <c r="AF6" s="321"/>
      <c r="AG6" s="28"/>
      <c r="AH6" s="28"/>
    </row>
    <row r="7" spans="1:41" ht="7.5" customHeight="1">
      <c r="A7" s="28"/>
      <c r="B7" s="28"/>
      <c r="C7" s="28"/>
      <c r="D7" s="28"/>
      <c r="E7" s="28"/>
      <c r="F7" s="68"/>
      <c r="G7" s="28"/>
      <c r="H7" s="69"/>
      <c r="I7" s="69"/>
      <c r="J7" s="69"/>
      <c r="K7" s="69"/>
      <c r="L7" s="69"/>
      <c r="M7" s="69"/>
      <c r="N7" s="69"/>
      <c r="O7" s="69"/>
      <c r="P7" s="69"/>
      <c r="Q7" s="28"/>
      <c r="R7" s="28"/>
      <c r="S7" s="28"/>
      <c r="T7" s="28"/>
      <c r="U7" s="28"/>
      <c r="V7" s="68"/>
      <c r="W7" s="28"/>
      <c r="X7" s="69"/>
      <c r="Y7" s="69"/>
      <c r="Z7" s="69"/>
      <c r="AA7" s="69"/>
      <c r="AB7" s="69"/>
      <c r="AC7" s="69"/>
      <c r="AD7" s="69"/>
      <c r="AE7" s="69"/>
      <c r="AF7" s="69"/>
      <c r="AG7" s="28"/>
      <c r="AH7" s="28"/>
    </row>
    <row r="8" spans="1:41" ht="26.45">
      <c r="A8" s="28"/>
      <c r="B8" s="28"/>
      <c r="C8" s="28"/>
      <c r="D8" s="28"/>
      <c r="E8" s="101" t="s">
        <v>96</v>
      </c>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28"/>
      <c r="AF8" s="28"/>
      <c r="AG8" s="28"/>
      <c r="AH8" s="28"/>
    </row>
    <row r="9" spans="1:41" ht="24.75" customHeight="1">
      <c r="A9" s="76" t="s">
        <v>103</v>
      </c>
      <c r="B9" s="76" t="s">
        <v>103</v>
      </c>
      <c r="C9" s="70" t="s">
        <v>71</v>
      </c>
      <c r="D9" s="71" t="s">
        <v>41</v>
      </c>
      <c r="E9" s="70"/>
      <c r="F9" s="28"/>
      <c r="G9" s="72"/>
      <c r="H9" s="28"/>
      <c r="I9" s="72"/>
      <c r="J9" s="72"/>
      <c r="K9" s="71" t="s">
        <v>98</v>
      </c>
      <c r="L9" s="28"/>
      <c r="M9" s="72"/>
      <c r="N9" s="28"/>
      <c r="O9" s="28"/>
      <c r="P9" s="72"/>
      <c r="Q9" s="72"/>
      <c r="R9" s="73" t="s">
        <v>43</v>
      </c>
      <c r="S9" s="72"/>
      <c r="T9" s="73" t="s">
        <v>101</v>
      </c>
      <c r="U9" s="74"/>
      <c r="V9" s="75"/>
      <c r="W9" s="28"/>
      <c r="X9" s="333" t="s">
        <v>86</v>
      </c>
      <c r="Y9" s="335"/>
      <c r="Z9" s="335"/>
      <c r="AA9" s="28"/>
      <c r="AB9" s="28"/>
      <c r="AC9" s="333" t="s">
        <v>50</v>
      </c>
      <c r="AD9" s="334"/>
      <c r="AE9" s="334"/>
      <c r="AF9" s="336" t="s">
        <v>88</v>
      </c>
      <c r="AG9" s="337"/>
      <c r="AH9" s="70" t="s">
        <v>104</v>
      </c>
    </row>
    <row r="10" spans="1:41" ht="15" customHeight="1">
      <c r="A10" s="45">
        <v>1</v>
      </c>
      <c r="B10" s="135">
        <v>1</v>
      </c>
      <c r="C10" s="136">
        <f t="shared" ref="C10:C73" si="0">IF(IF(ISNA(VLOOKUP(A10,StartList,3,FALSE)),"",VLOOKUP(A10,StartList,3,FALSE))=0,"",IF(ISNA(VLOOKUP(A10,StartList,3,FALSE)),"",VLOOKUP(A10,StartList,3,FALSE)))</f>
        <v>73</v>
      </c>
      <c r="D10" s="365" t="str">
        <f t="shared" ref="D10" si="1">IF(IF(ISNA(VLOOKUP(A10,StartList,4,FALSE)),"",VLOOKUP(A10,StartList,4,FALSE))=0,"",IF(ISNA(VLOOKUP(A10,StartList,4,FALSE)),"",VLOOKUP(A10,StartList,4,FALSE)))</f>
        <v>Oliver Pemberton</v>
      </c>
      <c r="E10" s="366"/>
      <c r="F10" s="366"/>
      <c r="G10" s="366"/>
      <c r="H10" s="366"/>
      <c r="I10" s="366"/>
      <c r="J10" s="367"/>
      <c r="K10" s="167" t="str">
        <f>IF(IF(ISNA(VLOOKUP(A10,StartList,5,FALSE)),"",VLOOKUP(A10,StartList,5,FALSE))=0,"",IF(ISNA(VLOOKUP(A10,StartList,5,FALSE)),"",VLOOKUP(A10,StartList,5,FALSE)))</f>
        <v>Vanelli-Project Go</v>
      </c>
      <c r="L10" s="168"/>
      <c r="M10" s="168"/>
      <c r="N10" s="168"/>
      <c r="O10" s="168"/>
      <c r="P10" s="168"/>
      <c r="Q10" s="138"/>
      <c r="R10" s="137" t="str">
        <f t="shared" ref="R10:R34" si="2">IF(IF(ISNA(VLOOKUP(A10,StartList,7,FALSE)),"",VLOOKUP(A10,StartList,7,FALSE))=0,"",IF(ISNA(VLOOKUP(A10,StartList,7,FALSE)),"",VLOOKUP(A10,StartList,7,FALSE)))</f>
        <v>S</v>
      </c>
      <c r="S10" s="136" t="str">
        <f t="shared" ref="S10:S34" si="3">IF(IF(ISNA(VLOOKUP(A10,StartList,6,FALSE)),"",VLOOKUP(A10,StartList,6,FALSE))=0,"",IF(ISNA(VLOOKUP(A10,StartList,6,FALSE)),"",VLOOKUP(A10,StartList,6,FALSE)))</f>
        <v>1826973</v>
      </c>
      <c r="T10" s="368">
        <f t="shared" ref="T10:T11" si="4">IF(IF(ISNA(VLOOKUP(A10,StartList,10,FALSE)),"",VLOOKUP(A10,StartList,10,FALSE))=0,"",IF(ISNA(VLOOKUP(A10,StartList,10,FALSE)),"",VLOOKUP(A10,StartList,10,FALSE)))</f>
        <v>1.3599537037037202E-2</v>
      </c>
      <c r="U10" s="366"/>
      <c r="V10" s="367"/>
      <c r="W10" s="368" t="str">
        <f t="shared" ref="W10:W41" si="5">IF(IF(ISNA(VLOOKUP(A10,StartList,13,FALSE)),"",VLOOKUP(A10,StartList,13,FALSE))=0,"",IF(ISNA(VLOOKUP(A10,StartList,13,FALSE)),"",VLOOKUP(A10,StartList,13,FALSE)))</f>
        <v/>
      </c>
      <c r="X10" s="369"/>
      <c r="Y10" s="369"/>
      <c r="Z10" s="369"/>
      <c r="AA10" s="370"/>
      <c r="AB10" s="139" t="str">
        <f t="shared" ref="AB10:AB11" si="6">IF(IF(ISNA(VLOOKUP(A10,StartList,16,FALSE)),"",VLOOKUP(A10,StartList,16,FALSE))=0,"",IF(ISNA(VLOOKUP(A10,StartList,16,FALSE)),"",VLOOKUP(A10,StartList,16,FALSE)))</f>
        <v/>
      </c>
      <c r="AC10" s="338" t="str">
        <f t="shared" ref="AC10:AC11" si="7">IF(IF(ISNA(VLOOKUP(A10,StartList,17,FALSE)),"",VLOOKUP(A10,StartList,17,FALSE))=0,"",IF(ISNA(VLOOKUP(A10,StartList,17,FALSE)),"",VLOOKUP(A10,StartList,17,FALSE)))</f>
        <v/>
      </c>
      <c r="AD10" s="339"/>
      <c r="AE10" s="340"/>
      <c r="AF10" s="172"/>
      <c r="AG10" s="224"/>
      <c r="AH10" s="140"/>
    </row>
    <row r="11" spans="1:41" ht="15" customHeight="1">
      <c r="A11" s="43">
        <v>2</v>
      </c>
      <c r="B11" s="141">
        <v>2</v>
      </c>
      <c r="C11" s="142">
        <f t="shared" si="0"/>
        <v>75</v>
      </c>
      <c r="D11" s="371" t="str">
        <f t="shared" ref="D11:D22" si="8">IF(IF(ISNA(VLOOKUP(A11,StartList,4,FALSE)),"",VLOOKUP(A11,StartList,4,FALSE))=0,"",IF(ISNA(VLOOKUP(A11,StartList,4,FALSE)),"",VLOOKUP(A11,StartList,4,FALSE)))</f>
        <v>Graham Hollinger</v>
      </c>
      <c r="E11" s="372"/>
      <c r="F11" s="372"/>
      <c r="G11" s="372"/>
      <c r="H11" s="372"/>
      <c r="I11" s="372"/>
      <c r="J11" s="373"/>
      <c r="K11" s="176" t="str">
        <f t="shared" ref="K11" si="9">IF(IF(ISNA(VLOOKUP(A11,StartList,5,FALSE)),"",VLOOKUP(A11,StartList,5,FALSE))=0,"",IF(ISNA(VLOOKUP(A11,StartList,5,FALSE)),"",VLOOKUP(A11,StartList,5,FALSE)))</f>
        <v>Torvelo Racing</v>
      </c>
      <c r="L11" s="177"/>
      <c r="M11" s="177"/>
      <c r="N11" s="177"/>
      <c r="O11" s="177"/>
      <c r="P11" s="177"/>
      <c r="Q11" s="144"/>
      <c r="R11" s="143" t="str">
        <f t="shared" si="2"/>
        <v>S</v>
      </c>
      <c r="S11" s="142" t="str">
        <f t="shared" si="3"/>
        <v>1673941</v>
      </c>
      <c r="T11" s="374">
        <f t="shared" si="4"/>
        <v>1.369212962962979E-2</v>
      </c>
      <c r="U11" s="372"/>
      <c r="V11" s="373"/>
      <c r="W11" s="374" t="str">
        <f t="shared" si="5"/>
        <v/>
      </c>
      <c r="X11" s="375"/>
      <c r="Y11" s="375"/>
      <c r="Z11" s="375"/>
      <c r="AA11" s="376"/>
      <c r="AB11" s="145" t="str">
        <f t="shared" si="6"/>
        <v/>
      </c>
      <c r="AC11" s="341" t="str">
        <f t="shared" si="7"/>
        <v/>
      </c>
      <c r="AD11" s="324"/>
      <c r="AE11" s="342"/>
      <c r="AF11" s="180"/>
      <c r="AG11" s="225"/>
      <c r="AH11" s="236">
        <f>IF(T11="","",(T11-$T$10)/$T$10)</f>
        <v>6.8085106382974941E-3</v>
      </c>
    </row>
    <row r="12" spans="1:41" ht="15" customHeight="1">
      <c r="A12" s="43">
        <v>3</v>
      </c>
      <c r="B12" s="141">
        <v>3</v>
      </c>
      <c r="C12" s="142">
        <f t="shared" si="0"/>
        <v>65</v>
      </c>
      <c r="D12" s="371" t="str">
        <f t="shared" si="8"/>
        <v>Matiss Robertson</v>
      </c>
      <c r="E12" s="372"/>
      <c r="F12" s="372"/>
      <c r="G12" s="372"/>
      <c r="H12" s="372"/>
      <c r="I12" s="372"/>
      <c r="J12" s="373"/>
      <c r="K12" s="176" t="str">
        <f t="shared" ref="K12:K75" si="10">IF(IF(ISNA(VLOOKUP(A12,StartList,5,FALSE)),"",VLOOKUP(A12,StartList,5,FALSE))=0,"",IF(ISNA(VLOOKUP(A12,StartList,5,FALSE)),"",VLOOKUP(A12,StartList,5,FALSE)))</f>
        <v>RT23</v>
      </c>
      <c r="L12" s="177"/>
      <c r="M12" s="177"/>
      <c r="N12" s="177"/>
      <c r="O12" s="177"/>
      <c r="P12" s="177"/>
      <c r="Q12" s="144"/>
      <c r="R12" s="143" t="str">
        <f t="shared" si="2"/>
        <v>S</v>
      </c>
      <c r="S12" s="142" t="str">
        <f t="shared" si="3"/>
        <v>1458410</v>
      </c>
      <c r="T12" s="374">
        <f t="shared" ref="T12:T75" si="11">IF(IF(ISNA(VLOOKUP(A12,StartList,10,FALSE)),"",VLOOKUP(A12,StartList,10,FALSE))=0,"",IF(ISNA(VLOOKUP(A12,StartList,10,FALSE)),"",VLOOKUP(A12,StartList,10,FALSE)))</f>
        <v>1.41319444444446E-2</v>
      </c>
      <c r="U12" s="372"/>
      <c r="V12" s="373"/>
      <c r="W12" s="374" t="str">
        <f t="shared" si="5"/>
        <v/>
      </c>
      <c r="X12" s="375"/>
      <c r="Y12" s="375"/>
      <c r="Z12" s="375"/>
      <c r="AA12" s="376"/>
      <c r="AB12" s="145" t="str">
        <f t="shared" ref="AB12:AB75" si="12">IF(IF(ISNA(VLOOKUP(A12,StartList,16,FALSE)),"",VLOOKUP(A12,StartList,16,FALSE))=0,"",IF(ISNA(VLOOKUP(A12,StartList,16,FALSE)),"",VLOOKUP(A12,StartList,16,FALSE)))</f>
        <v/>
      </c>
      <c r="AC12" s="341" t="str">
        <f t="shared" ref="AC12:AC35" si="13">IF(IF(ISNA(VLOOKUP(A12,StartList,17,FALSE)),"",VLOOKUP(A12,StartList,17,FALSE))=0,"",IF(ISNA(VLOOKUP(A12,StartList,17,FALSE)),"",VLOOKUP(A12,StartList,17,FALSE)))</f>
        <v/>
      </c>
      <c r="AD12" s="324"/>
      <c r="AE12" s="342"/>
      <c r="AF12" s="180"/>
      <c r="AG12" s="225"/>
      <c r="AH12" s="236">
        <f t="shared" ref="AH12:AH34" si="14">IF(T12="","",(T12-$T$10)/$T$10)</f>
        <v>3.9148936170211611E-2</v>
      </c>
    </row>
    <row r="13" spans="1:41" ht="15" customHeight="1">
      <c r="A13" s="43">
        <v>4</v>
      </c>
      <c r="B13" s="141">
        <v>4</v>
      </c>
      <c r="C13" s="142">
        <f t="shared" si="0"/>
        <v>55</v>
      </c>
      <c r="D13" s="371" t="str">
        <f t="shared" si="8"/>
        <v>Chris Petrie</v>
      </c>
      <c r="E13" s="372"/>
      <c r="F13" s="372"/>
      <c r="G13" s="372"/>
      <c r="H13" s="372"/>
      <c r="I13" s="372"/>
      <c r="J13" s="373"/>
      <c r="K13" s="176" t="str">
        <f t="shared" si="10"/>
        <v>Aberdeen Wheelers Cycling Club</v>
      </c>
      <c r="L13" s="177"/>
      <c r="M13" s="177"/>
      <c r="N13" s="177"/>
      <c r="O13" s="177"/>
      <c r="P13" s="177"/>
      <c r="Q13" s="144"/>
      <c r="R13" s="143" t="str">
        <f t="shared" si="2"/>
        <v>V</v>
      </c>
      <c r="S13" s="142" t="str">
        <f t="shared" si="3"/>
        <v>1244492</v>
      </c>
      <c r="T13" s="374">
        <f t="shared" si="11"/>
        <v>1.4189814814814961E-2</v>
      </c>
      <c r="U13" s="372"/>
      <c r="V13" s="373"/>
      <c r="W13" s="374">
        <f t="shared" si="5"/>
        <v>1.4075719901388296E-2</v>
      </c>
      <c r="X13" s="375"/>
      <c r="Y13" s="375"/>
      <c r="Z13" s="375"/>
      <c r="AA13" s="376"/>
      <c r="AB13" s="145" t="str">
        <f t="shared" si="12"/>
        <v>+</v>
      </c>
      <c r="AC13" s="341">
        <f t="shared" si="13"/>
        <v>3.8888888888887439E-3</v>
      </c>
      <c r="AD13" s="324"/>
      <c r="AE13" s="342"/>
      <c r="AF13" s="180"/>
      <c r="AG13" s="225"/>
      <c r="AH13" s="236">
        <f t="shared" si="14"/>
        <v>4.3404255319147031E-2</v>
      </c>
    </row>
    <row r="14" spans="1:41" ht="15" customHeight="1">
      <c r="A14" s="43">
        <v>5</v>
      </c>
      <c r="B14" s="141">
        <v>5</v>
      </c>
      <c r="C14" s="142">
        <f t="shared" si="0"/>
        <v>50</v>
      </c>
      <c r="D14" s="371" t="str">
        <f t="shared" si="8"/>
        <v>Garry Greenaway</v>
      </c>
      <c r="E14" s="372"/>
      <c r="F14" s="372"/>
      <c r="G14" s="372"/>
      <c r="H14" s="372"/>
      <c r="I14" s="372"/>
      <c r="J14" s="373"/>
      <c r="K14" s="176" t="str">
        <f t="shared" si="10"/>
        <v>Vanelli-Project Go</v>
      </c>
      <c r="L14" s="177"/>
      <c r="M14" s="177"/>
      <c r="N14" s="177"/>
      <c r="O14" s="177"/>
      <c r="P14" s="177"/>
      <c r="Q14" s="144"/>
      <c r="R14" s="143" t="str">
        <f t="shared" si="2"/>
        <v>V</v>
      </c>
      <c r="S14" s="142" t="str">
        <f t="shared" si="3"/>
        <v>1554243</v>
      </c>
      <c r="T14" s="374">
        <f t="shared" si="11"/>
        <v>1.4317129629629777E-2</v>
      </c>
      <c r="U14" s="372"/>
      <c r="V14" s="373"/>
      <c r="W14" s="374">
        <f t="shared" si="5"/>
        <v>1.4090637363599412E-2</v>
      </c>
      <c r="X14" s="375"/>
      <c r="Y14" s="375"/>
      <c r="Z14" s="375"/>
      <c r="AA14" s="376"/>
      <c r="AB14" s="145" t="str">
        <f t="shared" si="12"/>
        <v>+</v>
      </c>
      <c r="AC14" s="341">
        <f t="shared" si="13"/>
        <v>4.6296296296294837E-3</v>
      </c>
      <c r="AD14" s="324"/>
      <c r="AE14" s="342"/>
      <c r="AF14" s="180"/>
      <c r="AG14" s="225"/>
      <c r="AH14" s="236">
        <f t="shared" si="14"/>
        <v>5.2765957446806594E-2</v>
      </c>
    </row>
    <row r="15" spans="1:41" ht="15" customHeight="1">
      <c r="A15" s="43">
        <v>6</v>
      </c>
      <c r="B15" s="141">
        <v>6</v>
      </c>
      <c r="C15" s="142">
        <f t="shared" si="0"/>
        <v>40</v>
      </c>
      <c r="D15" s="371" t="str">
        <f t="shared" si="8"/>
        <v>Daniel Long</v>
      </c>
      <c r="E15" s="372"/>
      <c r="F15" s="372"/>
      <c r="G15" s="372"/>
      <c r="H15" s="372"/>
      <c r="I15" s="372"/>
      <c r="J15" s="373"/>
      <c r="K15" s="176" t="str">
        <f t="shared" si="10"/>
        <v>Elgin CC</v>
      </c>
      <c r="L15" s="177"/>
      <c r="M15" s="177"/>
      <c r="N15" s="177"/>
      <c r="O15" s="177"/>
      <c r="P15" s="177"/>
      <c r="Q15" s="144"/>
      <c r="R15" s="143" t="str">
        <f t="shared" si="2"/>
        <v>V</v>
      </c>
      <c r="S15" s="142" t="str">
        <f t="shared" si="3"/>
        <v>1382142</v>
      </c>
      <c r="T15" s="374">
        <f t="shared" si="11"/>
        <v>1.4351851851851949E-2</v>
      </c>
      <c r="U15" s="372"/>
      <c r="V15" s="373"/>
      <c r="W15" s="374">
        <f t="shared" si="5"/>
        <v>1.4014174681067609E-2</v>
      </c>
      <c r="X15" s="375"/>
      <c r="Y15" s="375"/>
      <c r="Z15" s="375"/>
      <c r="AA15" s="376"/>
      <c r="AB15" s="145" t="str">
        <f t="shared" si="12"/>
        <v>+</v>
      </c>
      <c r="AC15" s="341">
        <f t="shared" si="13"/>
        <v>4.0162037037036052E-3</v>
      </c>
      <c r="AD15" s="324"/>
      <c r="AE15" s="342"/>
      <c r="AF15" s="180"/>
      <c r="AG15" s="225"/>
      <c r="AH15" s="236">
        <f t="shared" si="14"/>
        <v>5.5319148936164582E-2</v>
      </c>
    </row>
    <row r="16" spans="1:41" ht="15" customHeight="1">
      <c r="A16" s="43">
        <v>7</v>
      </c>
      <c r="B16" s="141">
        <v>7</v>
      </c>
      <c r="C16" s="142">
        <f t="shared" si="0"/>
        <v>35</v>
      </c>
      <c r="D16" s="371" t="str">
        <f t="shared" si="8"/>
        <v>Robin Atkinson</v>
      </c>
      <c r="E16" s="372"/>
      <c r="F16" s="372"/>
      <c r="G16" s="372"/>
      <c r="H16" s="372"/>
      <c r="I16" s="372"/>
      <c r="J16" s="373"/>
      <c r="K16" s="176" t="str">
        <f t="shared" si="10"/>
        <v>Shetland Wheelers</v>
      </c>
      <c r="L16" s="177"/>
      <c r="M16" s="177"/>
      <c r="N16" s="177"/>
      <c r="O16" s="177"/>
      <c r="P16" s="177"/>
      <c r="Q16" s="144"/>
      <c r="R16" s="143" t="str">
        <f t="shared" si="2"/>
        <v>V</v>
      </c>
      <c r="S16" s="142" t="str">
        <f t="shared" si="3"/>
        <v>833363</v>
      </c>
      <c r="T16" s="374">
        <f t="shared" si="11"/>
        <v>1.4594907407407487E-2</v>
      </c>
      <c r="U16" s="372"/>
      <c r="V16" s="373"/>
      <c r="W16" s="374">
        <f t="shared" si="5"/>
        <v>1.4257230236623147E-2</v>
      </c>
      <c r="X16" s="375"/>
      <c r="Y16" s="375"/>
      <c r="Z16" s="375"/>
      <c r="AA16" s="376"/>
      <c r="AB16" s="145" t="str">
        <f t="shared" si="12"/>
        <v>+</v>
      </c>
      <c r="AC16" s="341">
        <f t="shared" si="13"/>
        <v>3.7731481481480672E-3</v>
      </c>
      <c r="AD16" s="324"/>
      <c r="AE16" s="342"/>
      <c r="AF16" s="180"/>
      <c r="AG16" s="225"/>
      <c r="AH16" s="236">
        <f t="shared" si="14"/>
        <v>7.3191489361694992E-2</v>
      </c>
    </row>
    <row r="17" spans="1:34" ht="15" customHeight="1">
      <c r="A17" s="43">
        <v>8</v>
      </c>
      <c r="B17" s="141">
        <v>8</v>
      </c>
      <c r="C17" s="142">
        <f t="shared" si="0"/>
        <v>15</v>
      </c>
      <c r="D17" s="371" t="str">
        <f t="shared" si="8"/>
        <v>Alasdair Munro</v>
      </c>
      <c r="E17" s="372"/>
      <c r="F17" s="372"/>
      <c r="G17" s="372"/>
      <c r="H17" s="372"/>
      <c r="I17" s="372"/>
      <c r="J17" s="373"/>
      <c r="K17" s="176" t="str">
        <f t="shared" si="10"/>
        <v>RT23</v>
      </c>
      <c r="L17" s="177"/>
      <c r="M17" s="177"/>
      <c r="N17" s="177"/>
      <c r="O17" s="177"/>
      <c r="P17" s="177"/>
      <c r="Q17" s="144"/>
      <c r="R17" s="143" t="str">
        <f t="shared" si="2"/>
        <v>S</v>
      </c>
      <c r="S17" s="142" t="str">
        <f t="shared" si="3"/>
        <v>1108729</v>
      </c>
      <c r="T17" s="374">
        <f t="shared" si="11"/>
        <v>1.461805555555562E-2</v>
      </c>
      <c r="U17" s="372"/>
      <c r="V17" s="373"/>
      <c r="W17" s="374">
        <f t="shared" si="5"/>
        <v>1.3974166736067072E-2</v>
      </c>
      <c r="X17" s="375"/>
      <c r="Y17" s="375"/>
      <c r="Z17" s="375"/>
      <c r="AA17" s="376"/>
      <c r="AB17" s="145" t="str">
        <f t="shared" si="12"/>
        <v/>
      </c>
      <c r="AC17" s="341" t="str">
        <f t="shared" si="13"/>
        <v/>
      </c>
      <c r="AD17" s="324"/>
      <c r="AE17" s="342"/>
      <c r="AF17" s="180"/>
      <c r="AG17" s="225"/>
      <c r="AH17" s="236">
        <f t="shared" si="14"/>
        <v>7.4893617021268344E-2</v>
      </c>
    </row>
    <row r="18" spans="1:34" ht="15" customHeight="1">
      <c r="A18" s="43">
        <v>9</v>
      </c>
      <c r="B18" s="141">
        <v>9</v>
      </c>
      <c r="C18" s="142">
        <f t="shared" si="0"/>
        <v>66</v>
      </c>
      <c r="D18" s="371" t="str">
        <f t="shared" si="8"/>
        <v>Scott Davidson</v>
      </c>
      <c r="E18" s="372"/>
      <c r="F18" s="372"/>
      <c r="G18" s="372"/>
      <c r="H18" s="372"/>
      <c r="I18" s="372"/>
      <c r="J18" s="373"/>
      <c r="K18" s="176" t="str">
        <f t="shared" si="10"/>
        <v>Moray Firth Cycling Club</v>
      </c>
      <c r="L18" s="177"/>
      <c r="M18" s="177"/>
      <c r="N18" s="177"/>
      <c r="O18" s="177"/>
      <c r="P18" s="177"/>
      <c r="Q18" s="144"/>
      <c r="R18" s="143" t="str">
        <f t="shared" si="2"/>
        <v>S</v>
      </c>
      <c r="S18" s="142" t="str">
        <f t="shared" si="3"/>
        <v>1346317</v>
      </c>
      <c r="T18" s="374">
        <f t="shared" si="11"/>
        <v>1.462962962962977E-2</v>
      </c>
      <c r="U18" s="372"/>
      <c r="V18" s="373"/>
      <c r="W18" s="374">
        <f t="shared" si="5"/>
        <v>1.3706978800423816E-2</v>
      </c>
      <c r="X18" s="375"/>
      <c r="Y18" s="375"/>
      <c r="Z18" s="375"/>
      <c r="AA18" s="376"/>
      <c r="AB18" s="145" t="str">
        <f t="shared" si="12"/>
        <v/>
      </c>
      <c r="AC18" s="341" t="str">
        <f t="shared" si="13"/>
        <v/>
      </c>
      <c r="AD18" s="324"/>
      <c r="AE18" s="342"/>
      <c r="AF18" s="180"/>
      <c r="AG18" s="225"/>
      <c r="AH18" s="236">
        <f t="shared" si="14"/>
        <v>7.5744680851061147E-2</v>
      </c>
    </row>
    <row r="19" spans="1:34" ht="15" customHeight="1">
      <c r="A19" s="43">
        <v>10</v>
      </c>
      <c r="B19" s="141">
        <v>10</v>
      </c>
      <c r="C19" s="142">
        <f t="shared" si="0"/>
        <v>30</v>
      </c>
      <c r="D19" s="371" t="str">
        <f t="shared" si="8"/>
        <v>Tom Broadbent</v>
      </c>
      <c r="E19" s="372"/>
      <c r="F19" s="372"/>
      <c r="G19" s="372"/>
      <c r="H19" s="372"/>
      <c r="I19" s="372"/>
      <c r="J19" s="373"/>
      <c r="K19" s="176" t="str">
        <f t="shared" si="10"/>
        <v>MGC RT</v>
      </c>
      <c r="L19" s="177"/>
      <c r="M19" s="177"/>
      <c r="N19" s="177"/>
      <c r="O19" s="177"/>
      <c r="P19" s="177"/>
      <c r="Q19" s="144"/>
      <c r="R19" s="143" t="str">
        <f t="shared" si="2"/>
        <v>V</v>
      </c>
      <c r="S19" s="142" t="str">
        <f t="shared" si="3"/>
        <v>441717</v>
      </c>
      <c r="T19" s="374">
        <f t="shared" si="11"/>
        <v>1.467592592593E-2</v>
      </c>
      <c r="U19" s="372"/>
      <c r="V19" s="373"/>
      <c r="W19" s="374">
        <f t="shared" si="5"/>
        <v>1.4283048323921651E-2</v>
      </c>
      <c r="X19" s="375"/>
      <c r="Y19" s="375"/>
      <c r="Z19" s="375"/>
      <c r="AA19" s="376"/>
      <c r="AB19" s="145" t="str">
        <f t="shared" si="12"/>
        <v>+</v>
      </c>
      <c r="AC19" s="341">
        <f t="shared" si="13"/>
        <v>3.6342592592551858E-3</v>
      </c>
      <c r="AD19" s="324"/>
      <c r="AE19" s="342"/>
      <c r="AF19" s="180"/>
      <c r="AG19" s="225"/>
      <c r="AH19" s="236">
        <f t="shared" si="14"/>
        <v>7.9148936170499326E-2</v>
      </c>
    </row>
    <row r="20" spans="1:34" ht="15" customHeight="1">
      <c r="A20" s="43">
        <v>11</v>
      </c>
      <c r="B20" s="141">
        <v>11</v>
      </c>
      <c r="C20" s="142">
        <f t="shared" si="0"/>
        <v>45</v>
      </c>
      <c r="D20" s="371" t="str">
        <f t="shared" si="8"/>
        <v>Colin Johnston</v>
      </c>
      <c r="E20" s="372"/>
      <c r="F20" s="372"/>
      <c r="G20" s="372"/>
      <c r="H20" s="372"/>
      <c r="I20" s="372"/>
      <c r="J20" s="373"/>
      <c r="K20" s="176" t="str">
        <f t="shared" si="10"/>
        <v>Vanelli-Project Go</v>
      </c>
      <c r="L20" s="177"/>
      <c r="M20" s="177"/>
      <c r="N20" s="177"/>
      <c r="O20" s="177"/>
      <c r="P20" s="177"/>
      <c r="Q20" s="144"/>
      <c r="R20" s="143" t="str">
        <f t="shared" si="2"/>
        <v>JM</v>
      </c>
      <c r="S20" s="142" t="str">
        <f t="shared" si="3"/>
        <v>1085571</v>
      </c>
      <c r="T20" s="374">
        <f t="shared" si="11"/>
        <v>1.4814814814814947E-2</v>
      </c>
      <c r="U20" s="372"/>
      <c r="V20" s="373"/>
      <c r="W20" s="374">
        <f t="shared" si="5"/>
        <v>1.4565996314700999E-2</v>
      </c>
      <c r="X20" s="375"/>
      <c r="Y20" s="375"/>
      <c r="Z20" s="375"/>
      <c r="AA20" s="376"/>
      <c r="AB20" s="145" t="str">
        <f t="shared" si="12"/>
        <v/>
      </c>
      <c r="AC20" s="341" t="str">
        <f t="shared" si="13"/>
        <v/>
      </c>
      <c r="AD20" s="324"/>
      <c r="AE20" s="342"/>
      <c r="AF20" s="180"/>
      <c r="AG20" s="225"/>
      <c r="AH20" s="236">
        <f t="shared" si="14"/>
        <v>8.9361702127656137E-2</v>
      </c>
    </row>
    <row r="21" spans="1:34" ht="15" customHeight="1">
      <c r="A21" s="43">
        <v>12</v>
      </c>
      <c r="B21" s="141">
        <v>12</v>
      </c>
      <c r="C21" s="142">
        <f t="shared" si="0"/>
        <v>68</v>
      </c>
      <c r="D21" s="371" t="str">
        <f t="shared" si="8"/>
        <v>Mark Dryburgh</v>
      </c>
      <c r="E21" s="372"/>
      <c r="F21" s="372"/>
      <c r="G21" s="372"/>
      <c r="H21" s="372"/>
      <c r="I21" s="372"/>
      <c r="J21" s="373"/>
      <c r="K21" s="176" t="str">
        <f t="shared" si="10"/>
        <v>Ross-Shire RCC</v>
      </c>
      <c r="L21" s="177"/>
      <c r="M21" s="177"/>
      <c r="N21" s="177"/>
      <c r="O21" s="177"/>
      <c r="P21" s="177"/>
      <c r="Q21" s="144"/>
      <c r="R21" s="143" t="str">
        <f t="shared" si="2"/>
        <v>V</v>
      </c>
      <c r="S21" s="142" t="str">
        <f t="shared" si="3"/>
        <v>968561</v>
      </c>
      <c r="T21" s="374">
        <f t="shared" si="11"/>
        <v>1.5370370370370534E-2</v>
      </c>
      <c r="U21" s="372"/>
      <c r="V21" s="373"/>
      <c r="W21" s="374">
        <f t="shared" si="5"/>
        <v>1.4618684074681325E-2</v>
      </c>
      <c r="X21" s="375"/>
      <c r="Y21" s="375"/>
      <c r="Z21" s="375"/>
      <c r="AA21" s="376"/>
      <c r="AB21" s="145" t="str">
        <f t="shared" si="12"/>
        <v>+</v>
      </c>
      <c r="AC21" s="341">
        <f t="shared" si="13"/>
        <v>3.4143518518516894E-3</v>
      </c>
      <c r="AD21" s="324"/>
      <c r="AE21" s="342"/>
      <c r="AF21" s="180"/>
      <c r="AG21" s="225"/>
      <c r="AH21" s="236">
        <f t="shared" si="14"/>
        <v>0.13021276595744519</v>
      </c>
    </row>
    <row r="22" spans="1:34" ht="15" customHeight="1">
      <c r="A22" s="43">
        <v>13</v>
      </c>
      <c r="B22" s="141">
        <v>13</v>
      </c>
      <c r="C22" s="142">
        <f t="shared" si="0"/>
        <v>72</v>
      </c>
      <c r="D22" s="377" t="str">
        <f t="shared" si="8"/>
        <v>Dean Cunningham</v>
      </c>
      <c r="E22" s="378"/>
      <c r="F22" s="378"/>
      <c r="G22" s="378"/>
      <c r="H22" s="378"/>
      <c r="I22" s="378"/>
      <c r="J22" s="379"/>
      <c r="K22" s="176" t="str">
        <f t="shared" si="10"/>
        <v>Torvelo Racing</v>
      </c>
      <c r="L22" s="177"/>
      <c r="M22" s="177"/>
      <c r="N22" s="177"/>
      <c r="O22" s="177"/>
      <c r="P22" s="177"/>
      <c r="Q22" s="144"/>
      <c r="R22" s="143" t="str">
        <f t="shared" si="2"/>
        <v>S</v>
      </c>
      <c r="S22" s="142" t="str">
        <f t="shared" si="3"/>
        <v>1175717</v>
      </c>
      <c r="T22" s="374">
        <f t="shared" si="11"/>
        <v>1.5509259259259445E-2</v>
      </c>
      <c r="U22" s="372"/>
      <c r="V22" s="373"/>
      <c r="W22" s="374">
        <f t="shared" si="5"/>
        <v>1.4714662058625065E-2</v>
      </c>
      <c r="X22" s="375"/>
      <c r="Y22" s="375"/>
      <c r="Z22" s="375"/>
      <c r="AA22" s="376"/>
      <c r="AB22" s="145" t="str">
        <f t="shared" si="12"/>
        <v/>
      </c>
      <c r="AC22" s="341" t="str">
        <f t="shared" si="13"/>
        <v/>
      </c>
      <c r="AD22" s="324"/>
      <c r="AE22" s="342"/>
      <c r="AF22" s="180"/>
      <c r="AG22" s="225"/>
      <c r="AH22" s="236">
        <f t="shared" si="14"/>
        <v>0.14042553191489346</v>
      </c>
    </row>
    <row r="23" spans="1:34" ht="15" customHeight="1">
      <c r="A23" s="43">
        <v>14</v>
      </c>
      <c r="B23" s="141">
        <v>14</v>
      </c>
      <c r="C23" s="142">
        <f t="shared" si="0"/>
        <v>52</v>
      </c>
      <c r="D23" s="377" t="str">
        <f t="shared" ref="D23:D86" si="15">IF(IF(ISNA(VLOOKUP(A23,StartList,4,FALSE)),"",VLOOKUP(A23,StartList,4,FALSE))=0,"",IF(ISNA(VLOOKUP(A23,StartList,4,FALSE)),"",VLOOKUP(A23,StartList,4,FALSE)))</f>
        <v>Bruce Paterson</v>
      </c>
      <c r="E23" s="378"/>
      <c r="F23" s="378"/>
      <c r="G23" s="378"/>
      <c r="H23" s="378"/>
      <c r="I23" s="378"/>
      <c r="J23" s="379"/>
      <c r="K23" s="176" t="str">
        <f t="shared" si="10"/>
        <v>Moray Firth Cycling Club</v>
      </c>
      <c r="L23" s="177"/>
      <c r="M23" s="177"/>
      <c r="N23" s="177"/>
      <c r="O23" s="177"/>
      <c r="P23" s="177"/>
      <c r="Q23" s="144"/>
      <c r="R23" s="143" t="str">
        <f t="shared" si="2"/>
        <v>S</v>
      </c>
      <c r="S23" s="142" t="str">
        <f t="shared" si="3"/>
        <v>1824581</v>
      </c>
      <c r="T23" s="374">
        <f t="shared" si="11"/>
        <v>1.56481481481483E-2</v>
      </c>
      <c r="U23" s="372"/>
      <c r="V23" s="373"/>
      <c r="W23" s="374">
        <f t="shared" si="5"/>
        <v>1.2921701923907332E-2</v>
      </c>
      <c r="X23" s="375"/>
      <c r="Y23" s="375"/>
      <c r="Z23" s="375"/>
      <c r="AA23" s="376"/>
      <c r="AB23" s="145" t="str">
        <f t="shared" si="12"/>
        <v/>
      </c>
      <c r="AC23" s="341" t="str">
        <f t="shared" si="13"/>
        <v/>
      </c>
      <c r="AD23" s="324"/>
      <c r="AE23" s="342"/>
      <c r="AF23" s="180"/>
      <c r="AG23" s="225"/>
      <c r="AH23" s="236">
        <f t="shared" si="14"/>
        <v>0.15063829787233765</v>
      </c>
    </row>
    <row r="24" spans="1:34" ht="15" customHeight="1">
      <c r="A24" s="43">
        <v>15</v>
      </c>
      <c r="B24" s="141">
        <v>15</v>
      </c>
      <c r="C24" s="142">
        <f t="shared" si="0"/>
        <v>17</v>
      </c>
      <c r="D24" s="371" t="str">
        <f t="shared" si="15"/>
        <v>Kenneth McKenzie</v>
      </c>
      <c r="E24" s="372"/>
      <c r="F24" s="372"/>
      <c r="G24" s="372"/>
      <c r="H24" s="372"/>
      <c r="I24" s="372"/>
      <c r="J24" s="373"/>
      <c r="K24" s="176" t="str">
        <f t="shared" si="10"/>
        <v>Ross-Shire RCC</v>
      </c>
      <c r="L24" s="177"/>
      <c r="M24" s="177"/>
      <c r="N24" s="177"/>
      <c r="O24" s="177"/>
      <c r="P24" s="177"/>
      <c r="Q24" s="144"/>
      <c r="R24" s="143" t="str">
        <f t="shared" si="2"/>
        <v>V</v>
      </c>
      <c r="S24" s="142" t="str">
        <f t="shared" si="3"/>
        <v>1823463</v>
      </c>
      <c r="T24" s="374">
        <f t="shared" si="11"/>
        <v>1.5682870370370416E-2</v>
      </c>
      <c r="U24" s="372"/>
      <c r="V24" s="373"/>
      <c r="W24" s="374">
        <f t="shared" si="5"/>
        <v>1.3566679800208191E-2</v>
      </c>
      <c r="X24" s="375"/>
      <c r="Y24" s="375"/>
      <c r="Z24" s="375"/>
      <c r="AA24" s="376"/>
      <c r="AB24" s="145" t="str">
        <f t="shared" si="12"/>
        <v>+</v>
      </c>
      <c r="AC24" s="341">
        <f t="shared" si="13"/>
        <v>3.0439814814814357E-3</v>
      </c>
      <c r="AD24" s="324"/>
      <c r="AE24" s="342"/>
      <c r="AF24" s="180"/>
      <c r="AG24" s="225"/>
      <c r="AH24" s="236">
        <f t="shared" si="14"/>
        <v>0.15319148936169158</v>
      </c>
    </row>
    <row r="25" spans="1:34" ht="15" customHeight="1">
      <c r="A25" s="43">
        <v>16</v>
      </c>
      <c r="B25" s="141">
        <v>16</v>
      </c>
      <c r="C25" s="142">
        <f t="shared" si="0"/>
        <v>63</v>
      </c>
      <c r="D25" s="371" t="str">
        <f t="shared" si="15"/>
        <v>Alan McCaffrey</v>
      </c>
      <c r="E25" s="372"/>
      <c r="F25" s="372"/>
      <c r="G25" s="372"/>
      <c r="H25" s="372"/>
      <c r="I25" s="372"/>
      <c r="J25" s="373"/>
      <c r="K25" s="176" t="str">
        <f t="shared" si="10"/>
        <v>Moray Firth Cycling Club</v>
      </c>
      <c r="L25" s="177"/>
      <c r="M25" s="177"/>
      <c r="N25" s="177"/>
      <c r="O25" s="177"/>
      <c r="P25" s="177"/>
      <c r="Q25" s="144"/>
      <c r="R25" s="143" t="str">
        <f t="shared" si="2"/>
        <v>V</v>
      </c>
      <c r="S25" s="142" t="str">
        <f t="shared" si="3"/>
        <v>428942</v>
      </c>
      <c r="T25" s="374">
        <f t="shared" si="11"/>
        <v>1.5752314814814983E-2</v>
      </c>
      <c r="U25" s="372"/>
      <c r="V25" s="373"/>
      <c r="W25" s="374">
        <f t="shared" si="5"/>
        <v>1.4797804621501938E-2</v>
      </c>
      <c r="X25" s="375"/>
      <c r="Y25" s="375"/>
      <c r="Z25" s="375"/>
      <c r="AA25" s="376"/>
      <c r="AB25" s="145" t="str">
        <f t="shared" si="12"/>
        <v>+</v>
      </c>
      <c r="AC25" s="341">
        <f t="shared" si="13"/>
        <v>3.078703703703535E-3</v>
      </c>
      <c r="AD25" s="324"/>
      <c r="AE25" s="342"/>
      <c r="AF25" s="180"/>
      <c r="AG25" s="225"/>
      <c r="AH25" s="236">
        <f t="shared" si="14"/>
        <v>0.15829787234042386</v>
      </c>
    </row>
    <row r="26" spans="1:34" ht="15" customHeight="1">
      <c r="A26" s="43">
        <v>17</v>
      </c>
      <c r="B26" s="141">
        <v>17</v>
      </c>
      <c r="C26" s="142">
        <f t="shared" si="0"/>
        <v>44</v>
      </c>
      <c r="D26" s="371" t="str">
        <f t="shared" si="15"/>
        <v>Robert Cowie</v>
      </c>
      <c r="E26" s="372"/>
      <c r="F26" s="372"/>
      <c r="G26" s="372"/>
      <c r="H26" s="372"/>
      <c r="I26" s="372"/>
      <c r="J26" s="373"/>
      <c r="K26" s="176" t="str">
        <f t="shared" si="10"/>
        <v>Aberdeen Wheelers Cycling Club</v>
      </c>
      <c r="L26" s="177"/>
      <c r="M26" s="177"/>
      <c r="N26" s="177"/>
      <c r="O26" s="177"/>
      <c r="P26" s="177"/>
      <c r="Q26" s="144"/>
      <c r="R26" s="143" t="str">
        <f t="shared" si="2"/>
        <v>V</v>
      </c>
      <c r="S26" s="142" t="str">
        <f t="shared" si="3"/>
        <v>436318</v>
      </c>
      <c r="T26" s="374">
        <f t="shared" si="11"/>
        <v>1.5798611111111194E-2</v>
      </c>
      <c r="U26" s="372"/>
      <c r="V26" s="373"/>
      <c r="W26" s="374">
        <f t="shared" si="5"/>
        <v>1.3822683297570911E-2</v>
      </c>
      <c r="X26" s="375"/>
      <c r="Y26" s="375"/>
      <c r="Z26" s="375"/>
      <c r="AA26" s="376"/>
      <c r="AB26" s="145" t="str">
        <f t="shared" si="12"/>
        <v>+</v>
      </c>
      <c r="AC26" s="341">
        <f t="shared" si="13"/>
        <v>3.993055555555472E-3</v>
      </c>
      <c r="AD26" s="324"/>
      <c r="AE26" s="342"/>
      <c r="AF26" s="180"/>
      <c r="AG26" s="225"/>
      <c r="AH26" s="236">
        <f t="shared" si="14"/>
        <v>0.16170212765956649</v>
      </c>
    </row>
    <row r="27" spans="1:34" ht="15" customHeight="1">
      <c r="A27" s="43">
        <v>18</v>
      </c>
      <c r="B27" s="141">
        <v>18</v>
      </c>
      <c r="C27" s="142">
        <f t="shared" si="0"/>
        <v>47</v>
      </c>
      <c r="D27" s="371" t="str">
        <f t="shared" si="15"/>
        <v>Douglas Macdonald</v>
      </c>
      <c r="E27" s="372"/>
      <c r="F27" s="372"/>
      <c r="G27" s="372"/>
      <c r="H27" s="372"/>
      <c r="I27" s="372"/>
      <c r="J27" s="373"/>
      <c r="K27" s="176" t="str">
        <f t="shared" si="10"/>
        <v>Fullarton Wheelers Cycling Club</v>
      </c>
      <c r="L27" s="177"/>
      <c r="M27" s="177"/>
      <c r="N27" s="177"/>
      <c r="O27" s="177"/>
      <c r="P27" s="177"/>
      <c r="Q27" s="144"/>
      <c r="R27" s="143" t="str">
        <f t="shared" si="2"/>
        <v>V</v>
      </c>
      <c r="S27" s="142" t="str">
        <f t="shared" si="3"/>
        <v>430399</v>
      </c>
      <c r="T27" s="374">
        <f t="shared" si="11"/>
        <v>1.5972222222222332E-2</v>
      </c>
      <c r="U27" s="372"/>
      <c r="V27" s="373"/>
      <c r="W27" s="374">
        <f t="shared" si="5"/>
        <v>1.4515627668628357E-2</v>
      </c>
      <c r="X27" s="375"/>
      <c r="Y27" s="375"/>
      <c r="Z27" s="375"/>
      <c r="AA27" s="376"/>
      <c r="AB27" s="145" t="str">
        <f t="shared" si="12"/>
        <v>+</v>
      </c>
      <c r="AC27" s="341">
        <f t="shared" si="13"/>
        <v>3.6226851851850761E-3</v>
      </c>
      <c r="AD27" s="324"/>
      <c r="AE27" s="342"/>
      <c r="AF27" s="180"/>
      <c r="AG27" s="225"/>
      <c r="AH27" s="236">
        <f t="shared" si="14"/>
        <v>0.17446808510637685</v>
      </c>
    </row>
    <row r="28" spans="1:34" ht="15" customHeight="1">
      <c r="A28" s="43">
        <v>19</v>
      </c>
      <c r="B28" s="141">
        <v>19</v>
      </c>
      <c r="C28" s="142">
        <f t="shared" si="0"/>
        <v>27</v>
      </c>
      <c r="D28" s="371" t="str">
        <f t="shared" si="15"/>
        <v>Lorna Breetzke</v>
      </c>
      <c r="E28" s="372"/>
      <c r="F28" s="372"/>
      <c r="G28" s="372"/>
      <c r="H28" s="372"/>
      <c r="I28" s="372"/>
      <c r="J28" s="373"/>
      <c r="K28" s="176" t="str">
        <f t="shared" si="10"/>
        <v>Elgin CC</v>
      </c>
      <c r="L28" s="177"/>
      <c r="M28" s="177"/>
      <c r="N28" s="177"/>
      <c r="O28" s="177"/>
      <c r="P28" s="177"/>
      <c r="Q28" s="144"/>
      <c r="R28" s="143" t="str">
        <f t="shared" si="2"/>
        <v>FV</v>
      </c>
      <c r="S28" s="142" t="str">
        <f t="shared" si="3"/>
        <v>1494994</v>
      </c>
      <c r="T28" s="374">
        <f t="shared" si="11"/>
        <v>1.6041666666666732E-2</v>
      </c>
      <c r="U28" s="372"/>
      <c r="V28" s="373"/>
      <c r="W28" s="374">
        <f t="shared" si="5"/>
        <v>1.4095919336307015E-2</v>
      </c>
      <c r="X28" s="375"/>
      <c r="Y28" s="375"/>
      <c r="Z28" s="375"/>
      <c r="AA28" s="376"/>
      <c r="AB28" s="145" t="str">
        <f t="shared" si="12"/>
        <v>+</v>
      </c>
      <c r="AC28" s="341">
        <f t="shared" si="13"/>
        <v>3.946759259259195E-3</v>
      </c>
      <c r="AD28" s="324"/>
      <c r="AE28" s="342"/>
      <c r="AF28" s="180"/>
      <c r="AG28" s="225"/>
      <c r="AH28" s="236">
        <f t="shared" si="14"/>
        <v>0.17957446808509692</v>
      </c>
    </row>
    <row r="29" spans="1:34" ht="15" customHeight="1">
      <c r="A29" s="43">
        <v>20</v>
      </c>
      <c r="B29" s="141">
        <v>20</v>
      </c>
      <c r="C29" s="142">
        <f t="shared" si="0"/>
        <v>5</v>
      </c>
      <c r="D29" s="377" t="str">
        <f t="shared" si="15"/>
        <v>Daniel Sutherland</v>
      </c>
      <c r="E29" s="378"/>
      <c r="F29" s="378"/>
      <c r="G29" s="378"/>
      <c r="H29" s="378"/>
      <c r="I29" s="378"/>
      <c r="J29" s="379"/>
      <c r="K29" s="176" t="str">
        <f t="shared" si="10"/>
        <v>Moray Firth Cycling Club</v>
      </c>
      <c r="L29" s="177"/>
      <c r="M29" s="177"/>
      <c r="N29" s="177"/>
      <c r="O29" s="177"/>
      <c r="P29" s="177"/>
      <c r="Q29" s="144"/>
      <c r="R29" s="143" t="str">
        <f t="shared" si="2"/>
        <v>V</v>
      </c>
      <c r="S29" s="142" t="str">
        <f t="shared" si="3"/>
        <v>1423884</v>
      </c>
      <c r="T29" s="374">
        <f t="shared" si="11"/>
        <v>1.6099537037037037E-2</v>
      </c>
      <c r="U29" s="372"/>
      <c r="V29" s="373"/>
      <c r="W29" s="374">
        <f t="shared" si="5"/>
        <v>1.4123609223496755E-2</v>
      </c>
      <c r="X29" s="375"/>
      <c r="Y29" s="375"/>
      <c r="Z29" s="375"/>
      <c r="AA29" s="376"/>
      <c r="AB29" s="145" t="str">
        <f t="shared" si="12"/>
        <v>+</v>
      </c>
      <c r="AC29" s="341">
        <f t="shared" si="13"/>
        <v>2.2106481481481491E-3</v>
      </c>
      <c r="AD29" s="324"/>
      <c r="AE29" s="342"/>
      <c r="AF29" s="180"/>
      <c r="AG29" s="225"/>
      <c r="AH29" s="236">
        <f t="shared" si="14"/>
        <v>0.18382978723402824</v>
      </c>
    </row>
    <row r="30" spans="1:34" ht="15" customHeight="1">
      <c r="A30" s="43">
        <v>21</v>
      </c>
      <c r="B30" s="141">
        <v>21</v>
      </c>
      <c r="C30" s="142">
        <f t="shared" si="0"/>
        <v>62</v>
      </c>
      <c r="D30" s="377" t="str">
        <f t="shared" si="15"/>
        <v>Logan Anderson</v>
      </c>
      <c r="E30" s="378"/>
      <c r="F30" s="378"/>
      <c r="G30" s="378"/>
      <c r="H30" s="378"/>
      <c r="I30" s="378"/>
      <c r="J30" s="379"/>
      <c r="K30" s="176" t="str">
        <f t="shared" si="10"/>
        <v>Moray Firth Cycling Club</v>
      </c>
      <c r="L30" s="177"/>
      <c r="M30" s="177"/>
      <c r="N30" s="177"/>
      <c r="O30" s="177"/>
      <c r="P30" s="177"/>
      <c r="Q30" s="144"/>
      <c r="R30" s="143" t="str">
        <f t="shared" si="2"/>
        <v>YM</v>
      </c>
      <c r="S30" s="142" t="str">
        <f t="shared" si="3"/>
        <v>1713042</v>
      </c>
      <c r="T30" s="374">
        <f t="shared" si="11"/>
        <v>1.614583333333347E-2</v>
      </c>
      <c r="U30" s="372"/>
      <c r="V30" s="373"/>
      <c r="W30" s="374">
        <f t="shared" si="5"/>
        <v>1.2996394625582459E-2</v>
      </c>
      <c r="X30" s="375"/>
      <c r="Y30" s="375"/>
      <c r="Z30" s="375"/>
      <c r="AA30" s="376"/>
      <c r="AB30" s="145" t="str">
        <f t="shared" si="12"/>
        <v/>
      </c>
      <c r="AC30" s="341" t="str">
        <f t="shared" si="13"/>
        <v/>
      </c>
      <c r="AD30" s="324"/>
      <c r="AE30" s="342"/>
      <c r="AF30" s="180"/>
      <c r="AG30" s="225"/>
      <c r="AH30" s="236">
        <f t="shared" si="14"/>
        <v>0.18723404255318721</v>
      </c>
    </row>
    <row r="31" spans="1:34" ht="15" customHeight="1">
      <c r="A31" s="43">
        <v>22</v>
      </c>
      <c r="B31" s="141">
        <v>22</v>
      </c>
      <c r="C31" s="142">
        <f t="shared" si="0"/>
        <v>33</v>
      </c>
      <c r="D31" s="371" t="str">
        <f t="shared" si="15"/>
        <v>James Shewan</v>
      </c>
      <c r="E31" s="372"/>
      <c r="F31" s="372"/>
      <c r="G31" s="372"/>
      <c r="H31" s="372"/>
      <c r="I31" s="372"/>
      <c r="J31" s="373"/>
      <c r="K31" s="176" t="str">
        <f t="shared" si="10"/>
        <v>Moray Firth Cycling Club</v>
      </c>
      <c r="L31" s="177"/>
      <c r="M31" s="177"/>
      <c r="N31" s="177"/>
      <c r="O31" s="177"/>
      <c r="P31" s="177"/>
      <c r="Q31" s="144"/>
      <c r="R31" s="143" t="str">
        <f t="shared" si="2"/>
        <v>S</v>
      </c>
      <c r="S31" s="142" t="str">
        <f t="shared" si="3"/>
        <v>1253402</v>
      </c>
      <c r="T31" s="374">
        <f t="shared" si="11"/>
        <v>1.6192129629629737E-2</v>
      </c>
      <c r="U31" s="372"/>
      <c r="V31" s="373"/>
      <c r="W31" s="374">
        <f t="shared" si="5"/>
        <v>1.4286692146891516E-2</v>
      </c>
      <c r="X31" s="375"/>
      <c r="Y31" s="375"/>
      <c r="Z31" s="375"/>
      <c r="AA31" s="376"/>
      <c r="AB31" s="145" t="str">
        <f t="shared" si="12"/>
        <v/>
      </c>
      <c r="AC31" s="341" t="str">
        <f t="shared" si="13"/>
        <v/>
      </c>
      <c r="AD31" s="324"/>
      <c r="AE31" s="342"/>
      <c r="AF31" s="180" t="s">
        <v>105</v>
      </c>
      <c r="AG31" s="225"/>
      <c r="AH31" s="236">
        <f t="shared" si="14"/>
        <v>0.19063829787233391</v>
      </c>
    </row>
    <row r="32" spans="1:34" ht="15" customHeight="1">
      <c r="A32" s="43">
        <v>23</v>
      </c>
      <c r="B32" s="141">
        <v>23</v>
      </c>
      <c r="C32" s="142">
        <f t="shared" si="0"/>
        <v>23</v>
      </c>
      <c r="D32" s="371" t="str">
        <f t="shared" si="15"/>
        <v>Millie Thomson</v>
      </c>
      <c r="E32" s="372"/>
      <c r="F32" s="372"/>
      <c r="G32" s="372"/>
      <c r="H32" s="372"/>
      <c r="I32" s="372"/>
      <c r="J32" s="373"/>
      <c r="K32" s="176" t="str">
        <f t="shared" si="10"/>
        <v>Solas Cycling</v>
      </c>
      <c r="L32" s="177"/>
      <c r="M32" s="177"/>
      <c r="N32" s="177"/>
      <c r="O32" s="177"/>
      <c r="P32" s="177"/>
      <c r="Q32" s="144"/>
      <c r="R32" s="143" t="str">
        <f t="shared" si="2"/>
        <v>F</v>
      </c>
      <c r="S32" s="142" t="str">
        <f t="shared" si="3"/>
        <v>1151288</v>
      </c>
      <c r="T32" s="374">
        <f t="shared" si="11"/>
        <v>1.6203703703703776E-2</v>
      </c>
      <c r="U32" s="372"/>
      <c r="V32" s="373"/>
      <c r="W32" s="374">
        <f t="shared" si="5"/>
        <v>1.4117489868440244E-2</v>
      </c>
      <c r="X32" s="375"/>
      <c r="Y32" s="375"/>
      <c r="Z32" s="375"/>
      <c r="AA32" s="376"/>
      <c r="AB32" s="145" t="str">
        <f t="shared" si="12"/>
        <v/>
      </c>
      <c r="AC32" s="341" t="str">
        <f t="shared" si="13"/>
        <v/>
      </c>
      <c r="AD32" s="324"/>
      <c r="AE32" s="342"/>
      <c r="AF32" s="180"/>
      <c r="AG32" s="225"/>
      <c r="AH32" s="236">
        <f t="shared" si="14"/>
        <v>0.19148936170211853</v>
      </c>
    </row>
    <row r="33" spans="1:34" ht="15" customHeight="1">
      <c r="A33" s="43">
        <v>24</v>
      </c>
      <c r="B33" s="141">
        <v>24</v>
      </c>
      <c r="C33" s="142">
        <f t="shared" si="0"/>
        <v>38</v>
      </c>
      <c r="D33" s="371" t="str">
        <f t="shared" si="15"/>
        <v>Alison Roger</v>
      </c>
      <c r="E33" s="372"/>
      <c r="F33" s="372"/>
      <c r="G33" s="372"/>
      <c r="H33" s="372"/>
      <c r="I33" s="372"/>
      <c r="J33" s="373"/>
      <c r="K33" s="176" t="str">
        <f t="shared" si="10"/>
        <v>North Argyll Cycle Club</v>
      </c>
      <c r="L33" s="177"/>
      <c r="M33" s="177"/>
      <c r="N33" s="177"/>
      <c r="O33" s="177"/>
      <c r="P33" s="177"/>
      <c r="Q33" s="144"/>
      <c r="R33" s="143" t="str">
        <f t="shared" si="2"/>
        <v>FV</v>
      </c>
      <c r="S33" s="142" t="str">
        <f t="shared" si="3"/>
        <v>1690150</v>
      </c>
      <c r="T33" s="374">
        <f t="shared" si="11"/>
        <v>1.6319444444444553E-2</v>
      </c>
      <c r="U33" s="372"/>
      <c r="V33" s="373"/>
      <c r="W33" s="374">
        <f t="shared" si="5"/>
        <v>1.4133474566061848E-2</v>
      </c>
      <c r="X33" s="375"/>
      <c r="Y33" s="375"/>
      <c r="Z33" s="375"/>
      <c r="AA33" s="376"/>
      <c r="AB33" s="145" t="str">
        <f t="shared" si="12"/>
        <v>+</v>
      </c>
      <c r="AC33" s="341">
        <f t="shared" si="13"/>
        <v>4.0046296296295213E-3</v>
      </c>
      <c r="AD33" s="324"/>
      <c r="AE33" s="342"/>
      <c r="AF33" s="180"/>
      <c r="AG33" s="225"/>
      <c r="AH33" s="236">
        <f t="shared" si="14"/>
        <v>0.19999999999999346</v>
      </c>
    </row>
    <row r="34" spans="1:34" ht="15" customHeight="1">
      <c r="A34" s="43">
        <v>25</v>
      </c>
      <c r="B34" s="141">
        <v>25</v>
      </c>
      <c r="C34" s="142">
        <f t="shared" si="0"/>
        <v>7</v>
      </c>
      <c r="D34" s="377" t="str">
        <f t="shared" si="15"/>
        <v>Jonathan Forbes</v>
      </c>
      <c r="E34" s="378"/>
      <c r="F34" s="378"/>
      <c r="G34" s="378"/>
      <c r="H34" s="378"/>
      <c r="I34" s="378"/>
      <c r="J34" s="379"/>
      <c r="K34" s="176" t="str">
        <f t="shared" si="10"/>
        <v>Ross-Shire RCC</v>
      </c>
      <c r="L34" s="177"/>
      <c r="M34" s="177"/>
      <c r="N34" s="177"/>
      <c r="O34" s="177"/>
      <c r="P34" s="177"/>
      <c r="Q34" s="144"/>
      <c r="R34" s="143" t="str">
        <f t="shared" si="2"/>
        <v>S</v>
      </c>
      <c r="S34" s="142" t="str">
        <f t="shared" si="3"/>
        <v>1359206</v>
      </c>
      <c r="T34" s="374">
        <f t="shared" si="11"/>
        <v>1.6435185185185219E-2</v>
      </c>
      <c r="U34" s="372"/>
      <c r="V34" s="373"/>
      <c r="W34" s="374">
        <f t="shared" si="5"/>
        <v>1.4439161604282293E-2</v>
      </c>
      <c r="X34" s="375"/>
      <c r="Y34" s="375"/>
      <c r="Z34" s="375"/>
      <c r="AA34" s="376"/>
      <c r="AB34" s="145" t="str">
        <f t="shared" si="12"/>
        <v/>
      </c>
      <c r="AC34" s="341" t="str">
        <f t="shared" si="13"/>
        <v/>
      </c>
      <c r="AD34" s="324"/>
      <c r="AE34" s="342"/>
      <c r="AF34" s="180"/>
      <c r="AG34" s="225"/>
      <c r="AH34" s="236">
        <f t="shared" si="14"/>
        <v>0.20851063829786023</v>
      </c>
    </row>
    <row r="35" spans="1:34" ht="15" customHeight="1">
      <c r="A35" s="43">
        <v>26</v>
      </c>
      <c r="B35" s="141">
        <v>26</v>
      </c>
      <c r="C35" s="142">
        <f t="shared" si="0"/>
        <v>20</v>
      </c>
      <c r="D35" s="371" t="str">
        <f t="shared" si="15"/>
        <v>Jeremy Hubbard</v>
      </c>
      <c r="E35" s="372"/>
      <c r="F35" s="372"/>
      <c r="G35" s="372"/>
      <c r="H35" s="372"/>
      <c r="I35" s="372"/>
      <c r="J35" s="373"/>
      <c r="K35" s="176" t="str">
        <f t="shared" si="10"/>
        <v>Cairngorm CC</v>
      </c>
      <c r="L35" s="177"/>
      <c r="M35" s="177"/>
      <c r="N35" s="177"/>
      <c r="O35" s="177"/>
      <c r="P35" s="177"/>
      <c r="Q35" s="144"/>
      <c r="R35" s="143" t="str">
        <f t="shared" ref="R35:R42" si="16">IF(IF(ISNA(VLOOKUP(A35,StartList,7,FALSE)),"",VLOOKUP(A35,StartList,7,FALSE))=0,"",IF(ISNA(VLOOKUP(A35,StartList,7,FALSE)),"",VLOOKUP(A35,StartList,7,FALSE)))</f>
        <v>S</v>
      </c>
      <c r="S35" s="142" t="str">
        <f t="shared" ref="S35:S42" si="17">IF(IF(ISNA(VLOOKUP(A35,StartList,6,FALSE)),"",VLOOKUP(A35,StartList,6,FALSE))=0,"",IF(ISNA(VLOOKUP(A35,StartList,6,FALSE)),"",VLOOKUP(A35,StartList,6,FALSE)))</f>
        <v>1267380</v>
      </c>
      <c r="T35" s="374">
        <f t="shared" si="11"/>
        <v>1.6458333333333408E-2</v>
      </c>
      <c r="U35" s="372"/>
      <c r="V35" s="373"/>
      <c r="W35" s="374">
        <f t="shared" si="5"/>
        <v>1.5923025223591618E-2</v>
      </c>
      <c r="X35" s="375"/>
      <c r="Y35" s="375"/>
      <c r="Z35" s="375"/>
      <c r="AA35" s="376"/>
      <c r="AB35" s="145" t="str">
        <f t="shared" si="12"/>
        <v/>
      </c>
      <c r="AC35" s="341" t="str">
        <f t="shared" si="13"/>
        <v/>
      </c>
      <c r="AD35" s="324"/>
      <c r="AE35" s="342"/>
      <c r="AF35" s="180"/>
      <c r="AG35" s="225"/>
      <c r="AH35" s="236">
        <f t="shared" ref="AH35:AH42" si="18">IF(T35="","",(T35-$T$10)/$T$10)</f>
        <v>0.21021276595743768</v>
      </c>
    </row>
    <row r="36" spans="1:34" ht="15" customHeight="1">
      <c r="A36" s="43">
        <v>27</v>
      </c>
      <c r="B36" s="141">
        <v>27</v>
      </c>
      <c r="C36" s="142">
        <f t="shared" si="0"/>
        <v>64</v>
      </c>
      <c r="D36" s="371" t="str">
        <f t="shared" si="15"/>
        <v>Michael Maciver</v>
      </c>
      <c r="E36" s="372"/>
      <c r="F36" s="372"/>
      <c r="G36" s="372"/>
      <c r="H36" s="372"/>
      <c r="I36" s="372"/>
      <c r="J36" s="373"/>
      <c r="K36" s="176" t="str">
        <f t="shared" si="10"/>
        <v>Ross-Shire RCC</v>
      </c>
      <c r="L36" s="177"/>
      <c r="M36" s="177"/>
      <c r="N36" s="177"/>
      <c r="O36" s="177"/>
      <c r="P36" s="177"/>
      <c r="Q36" s="144"/>
      <c r="R36" s="143" t="str">
        <f t="shared" si="16"/>
        <v>S</v>
      </c>
      <c r="S36" s="142" t="str">
        <f t="shared" si="17"/>
        <v>1053476</v>
      </c>
      <c r="T36" s="374">
        <f t="shared" si="11"/>
        <v>1.6458333333333464E-2</v>
      </c>
      <c r="U36" s="372"/>
      <c r="V36" s="373"/>
      <c r="W36" s="374">
        <f t="shared" si="5"/>
        <v>1.3966069608690996E-2</v>
      </c>
      <c r="X36" s="375"/>
      <c r="Y36" s="375"/>
      <c r="Z36" s="375"/>
      <c r="AA36" s="376"/>
      <c r="AB36" s="145" t="str">
        <f t="shared" si="12"/>
        <v/>
      </c>
      <c r="AC36" s="341" t="str">
        <f t="shared" ref="AC36:AC42" si="19">IF(IF(ISNA(VLOOKUP(A36,StartList,17,FALSE)),"",VLOOKUP(A36,StartList,17,FALSE))=0,"",IF(ISNA(VLOOKUP(A36,StartList,17,FALSE)),"",VLOOKUP(A36,StartList,17,FALSE)))</f>
        <v/>
      </c>
      <c r="AD36" s="324"/>
      <c r="AE36" s="342"/>
      <c r="AF36" s="180"/>
      <c r="AG36" s="225"/>
      <c r="AH36" s="236">
        <f t="shared" si="18"/>
        <v>0.21021276595744176</v>
      </c>
    </row>
    <row r="37" spans="1:34" ht="15" customHeight="1">
      <c r="A37" s="43">
        <v>28</v>
      </c>
      <c r="B37" s="141">
        <v>28</v>
      </c>
      <c r="C37" s="142">
        <f t="shared" si="0"/>
        <v>67</v>
      </c>
      <c r="D37" s="377" t="str">
        <f t="shared" si="15"/>
        <v>William Sutherland</v>
      </c>
      <c r="E37" s="378"/>
      <c r="F37" s="378"/>
      <c r="G37" s="378"/>
      <c r="H37" s="378"/>
      <c r="I37" s="378"/>
      <c r="J37" s="379"/>
      <c r="K37" s="176" t="str">
        <f t="shared" si="10"/>
        <v>Ross-Shire RCC</v>
      </c>
      <c r="L37" s="177"/>
      <c r="M37" s="177"/>
      <c r="N37" s="177"/>
      <c r="O37" s="177"/>
      <c r="P37" s="177"/>
      <c r="Q37" s="144"/>
      <c r="R37" s="143" t="str">
        <f t="shared" si="16"/>
        <v>S</v>
      </c>
      <c r="S37" s="142" t="str">
        <f t="shared" si="17"/>
        <v>1713297</v>
      </c>
      <c r="T37" s="374">
        <f t="shared" si="11"/>
        <v>1.6527777777777919E-2</v>
      </c>
      <c r="U37" s="372"/>
      <c r="V37" s="373"/>
      <c r="W37" s="374" t="str">
        <f t="shared" si="5"/>
        <v/>
      </c>
      <c r="X37" s="375"/>
      <c r="Y37" s="375"/>
      <c r="Z37" s="375"/>
      <c r="AA37" s="376"/>
      <c r="AB37" s="145" t="str">
        <f t="shared" si="12"/>
        <v/>
      </c>
      <c r="AC37" s="341" t="str">
        <f t="shared" si="19"/>
        <v/>
      </c>
      <c r="AD37" s="324"/>
      <c r="AE37" s="342"/>
      <c r="AF37" s="180"/>
      <c r="AG37" s="225"/>
      <c r="AH37" s="236">
        <f t="shared" si="18"/>
        <v>0.21531914893616588</v>
      </c>
    </row>
    <row r="38" spans="1:34" ht="15" customHeight="1">
      <c r="A38" s="43">
        <v>29</v>
      </c>
      <c r="B38" s="141">
        <v>29</v>
      </c>
      <c r="C38" s="142">
        <f t="shared" si="0"/>
        <v>3</v>
      </c>
      <c r="D38" s="371" t="str">
        <f t="shared" si="15"/>
        <v>Alan Horsburgh</v>
      </c>
      <c r="E38" s="372"/>
      <c r="F38" s="372"/>
      <c r="G38" s="372"/>
      <c r="H38" s="372"/>
      <c r="I38" s="372"/>
      <c r="J38" s="373"/>
      <c r="K38" s="176" t="str">
        <f t="shared" si="10"/>
        <v>Inverness Cycle Club</v>
      </c>
      <c r="L38" s="177"/>
      <c r="M38" s="177"/>
      <c r="N38" s="177"/>
      <c r="O38" s="177"/>
      <c r="P38" s="177"/>
      <c r="Q38" s="144"/>
      <c r="R38" s="143" t="str">
        <f t="shared" si="16"/>
        <v>V</v>
      </c>
      <c r="S38" s="142" t="str">
        <f t="shared" si="17"/>
        <v>955248</v>
      </c>
      <c r="T38" s="374">
        <f t="shared" si="11"/>
        <v>1.6597222222222208E-2</v>
      </c>
      <c r="U38" s="372"/>
      <c r="V38" s="373"/>
      <c r="W38" s="374">
        <f t="shared" si="5"/>
        <v>1.3220372845033038E-2</v>
      </c>
      <c r="X38" s="375"/>
      <c r="Y38" s="375"/>
      <c r="Z38" s="375"/>
      <c r="AA38" s="376"/>
      <c r="AB38" s="145" t="str">
        <f t="shared" si="12"/>
        <v>+</v>
      </c>
      <c r="AC38" s="341">
        <f t="shared" si="19"/>
        <v>1.9791666666666811E-3</v>
      </c>
      <c r="AD38" s="324"/>
      <c r="AE38" s="342"/>
      <c r="AF38" s="180"/>
      <c r="AG38" s="225"/>
      <c r="AH38" s="236">
        <f t="shared" si="18"/>
        <v>0.22042553191487779</v>
      </c>
    </row>
    <row r="39" spans="1:34" ht="15" customHeight="1">
      <c r="A39" s="43">
        <v>30</v>
      </c>
      <c r="B39" s="141">
        <v>30</v>
      </c>
      <c r="C39" s="142">
        <f t="shared" si="0"/>
        <v>13</v>
      </c>
      <c r="D39" s="371" t="str">
        <f t="shared" si="15"/>
        <v>Gillies Grant</v>
      </c>
      <c r="E39" s="372"/>
      <c r="F39" s="372"/>
      <c r="G39" s="372"/>
      <c r="H39" s="372"/>
      <c r="I39" s="372"/>
      <c r="J39" s="373"/>
      <c r="K39" s="176" t="str">
        <f t="shared" si="10"/>
        <v>Forres CC</v>
      </c>
      <c r="L39" s="177"/>
      <c r="M39" s="177"/>
      <c r="N39" s="177"/>
      <c r="O39" s="177"/>
      <c r="P39" s="177"/>
      <c r="Q39" s="144"/>
      <c r="R39" s="143" t="str">
        <f t="shared" si="16"/>
        <v>S</v>
      </c>
      <c r="S39" s="142" t="str">
        <f t="shared" si="17"/>
        <v>1711884</v>
      </c>
      <c r="T39" s="374">
        <f t="shared" si="11"/>
        <v>1.6666666666666718E-2</v>
      </c>
      <c r="U39" s="372"/>
      <c r="V39" s="373"/>
      <c r="W39" s="374">
        <f t="shared" si="5"/>
        <v>1.4500610086286773E-2</v>
      </c>
      <c r="X39" s="375"/>
      <c r="Y39" s="375"/>
      <c r="Z39" s="375"/>
      <c r="AA39" s="376"/>
      <c r="AB39" s="145" t="str">
        <f t="shared" si="12"/>
        <v/>
      </c>
      <c r="AC39" s="341" t="str">
        <f t="shared" si="19"/>
        <v/>
      </c>
      <c r="AD39" s="324"/>
      <c r="AE39" s="342"/>
      <c r="AF39" s="180"/>
      <c r="AG39" s="225"/>
      <c r="AH39" s="236">
        <f t="shared" si="18"/>
        <v>0.22553191489360602</v>
      </c>
    </row>
    <row r="40" spans="1:34" ht="15" customHeight="1">
      <c r="A40" s="43">
        <v>31</v>
      </c>
      <c r="B40" s="141">
        <v>31</v>
      </c>
      <c r="C40" s="142">
        <f t="shared" si="0"/>
        <v>14</v>
      </c>
      <c r="D40" s="371" t="str">
        <f t="shared" si="15"/>
        <v>Michael Mcinnes</v>
      </c>
      <c r="E40" s="372"/>
      <c r="F40" s="372"/>
      <c r="G40" s="372"/>
      <c r="H40" s="372"/>
      <c r="I40" s="372"/>
      <c r="J40" s="373"/>
      <c r="K40" s="176" t="str">
        <f t="shared" si="10"/>
        <v>Moray Firth Cycling Club</v>
      </c>
      <c r="L40" s="177"/>
      <c r="M40" s="177"/>
      <c r="N40" s="177"/>
      <c r="O40" s="177"/>
      <c r="P40" s="177"/>
      <c r="Q40" s="144"/>
      <c r="R40" s="143" t="str">
        <f t="shared" si="16"/>
        <v>V</v>
      </c>
      <c r="S40" s="142" t="str">
        <f t="shared" si="17"/>
        <v>1807438</v>
      </c>
      <c r="T40" s="374">
        <f t="shared" si="11"/>
        <v>1.6678240740740757E-2</v>
      </c>
      <c r="U40" s="372"/>
      <c r="V40" s="373"/>
      <c r="W40" s="374">
        <f t="shared" si="5"/>
        <v>1.3903319823735971E-2</v>
      </c>
      <c r="X40" s="375"/>
      <c r="Y40" s="375"/>
      <c r="Z40" s="375"/>
      <c r="AA40" s="376"/>
      <c r="AB40" s="145" t="str">
        <f t="shared" si="12"/>
        <v>+</v>
      </c>
      <c r="AC40" s="341">
        <f t="shared" si="19"/>
        <v>1.5740740740740576E-3</v>
      </c>
      <c r="AD40" s="324"/>
      <c r="AE40" s="342"/>
      <c r="AF40" s="180"/>
      <c r="AG40" s="225"/>
      <c r="AH40" s="236">
        <f t="shared" si="18"/>
        <v>0.22638297872339064</v>
      </c>
    </row>
    <row r="41" spans="1:34" ht="15" customHeight="1">
      <c r="A41" s="43">
        <v>32</v>
      </c>
      <c r="B41" s="141">
        <v>32</v>
      </c>
      <c r="C41" s="142">
        <f t="shared" si="0"/>
        <v>32</v>
      </c>
      <c r="D41" s="377" t="str">
        <f t="shared" si="15"/>
        <v>Kyle Cattanach</v>
      </c>
      <c r="E41" s="378"/>
      <c r="F41" s="378"/>
      <c r="G41" s="378"/>
      <c r="H41" s="378"/>
      <c r="I41" s="378"/>
      <c r="J41" s="379"/>
      <c r="K41" s="176" t="str">
        <f t="shared" si="10"/>
        <v>Moray Firth Cycling Club</v>
      </c>
      <c r="L41" s="177"/>
      <c r="M41" s="177"/>
      <c r="N41" s="177"/>
      <c r="O41" s="177"/>
      <c r="P41" s="177"/>
      <c r="Q41" s="144"/>
      <c r="R41" s="143" t="str">
        <f t="shared" si="16"/>
        <v>S</v>
      </c>
      <c r="S41" s="142" t="str">
        <f t="shared" si="17"/>
        <v>1834071</v>
      </c>
      <c r="T41" s="374">
        <f t="shared" si="11"/>
        <v>1.7013888888888995E-2</v>
      </c>
      <c r="U41" s="372"/>
      <c r="V41" s="373"/>
      <c r="W41" s="374">
        <f t="shared" si="5"/>
        <v>1.3921662008739077E-2</v>
      </c>
      <c r="X41" s="375"/>
      <c r="Y41" s="375"/>
      <c r="Z41" s="375"/>
      <c r="AA41" s="376"/>
      <c r="AB41" s="145" t="str">
        <f t="shared" si="12"/>
        <v/>
      </c>
      <c r="AC41" s="341" t="str">
        <f t="shared" si="19"/>
        <v/>
      </c>
      <c r="AD41" s="324"/>
      <c r="AE41" s="342"/>
      <c r="AF41" s="180"/>
      <c r="AG41" s="225"/>
      <c r="AH41" s="236">
        <f t="shared" si="18"/>
        <v>0.25106382978722669</v>
      </c>
    </row>
    <row r="42" spans="1:34" ht="15" customHeight="1">
      <c r="A42" s="43">
        <v>33</v>
      </c>
      <c r="B42" s="141">
        <v>33</v>
      </c>
      <c r="C42" s="142">
        <f t="shared" si="0"/>
        <v>8</v>
      </c>
      <c r="D42" s="377" t="str">
        <f t="shared" si="15"/>
        <v>Michael Morris</v>
      </c>
      <c r="E42" s="378"/>
      <c r="F42" s="378"/>
      <c r="G42" s="378"/>
      <c r="H42" s="378"/>
      <c r="I42" s="378"/>
      <c r="J42" s="379"/>
      <c r="K42" s="176" t="str">
        <f t="shared" si="10"/>
        <v>Cairngorm CC</v>
      </c>
      <c r="L42" s="177"/>
      <c r="M42" s="177"/>
      <c r="N42" s="177"/>
      <c r="O42" s="177"/>
      <c r="P42" s="177"/>
      <c r="Q42" s="144"/>
      <c r="R42" s="143" t="str">
        <f t="shared" si="16"/>
        <v>V</v>
      </c>
      <c r="S42" s="142" t="str">
        <f t="shared" si="17"/>
        <v>1729605</v>
      </c>
      <c r="T42" s="374">
        <f t="shared" si="11"/>
        <v>1.7048611111111112E-2</v>
      </c>
      <c r="U42" s="372"/>
      <c r="V42" s="373"/>
      <c r="W42" s="374">
        <f t="shared" ref="W42:W73" si="20">IF(IF(ISNA(VLOOKUP(A42,StartList,13,FALSE)),"",VLOOKUP(A42,StartList,13,FALSE))=0,"",IF(ISNA(VLOOKUP(A42,StartList,13,FALSE)),"",VLOOKUP(A42,StartList,13,FALSE)))</f>
        <v>1.4487784016750965E-2</v>
      </c>
      <c r="X42" s="375"/>
      <c r="Y42" s="375"/>
      <c r="Z42" s="375"/>
      <c r="AA42" s="376"/>
      <c r="AB42" s="145" t="str">
        <f t="shared" si="12"/>
        <v>+</v>
      </c>
      <c r="AC42" s="341">
        <f t="shared" si="19"/>
        <v>2.3032407407407411E-3</v>
      </c>
      <c r="AD42" s="324"/>
      <c r="AE42" s="342"/>
      <c r="AF42" s="180"/>
      <c r="AG42" s="225"/>
      <c r="AH42" s="236">
        <f t="shared" si="18"/>
        <v>0.25361702127658065</v>
      </c>
    </row>
    <row r="43" spans="1:34" ht="15" customHeight="1">
      <c r="A43" s="43">
        <v>34</v>
      </c>
      <c r="B43" s="141">
        <v>34</v>
      </c>
      <c r="C43" s="142">
        <f t="shared" si="0"/>
        <v>43</v>
      </c>
      <c r="D43" s="371" t="str">
        <f t="shared" si="15"/>
        <v>Isla Easto</v>
      </c>
      <c r="E43" s="372"/>
      <c r="F43" s="372"/>
      <c r="G43" s="372"/>
      <c r="H43" s="372"/>
      <c r="I43" s="372"/>
      <c r="J43" s="373"/>
      <c r="K43" s="176" t="str">
        <f t="shared" si="10"/>
        <v>Solas Cycling</v>
      </c>
      <c r="L43" s="177"/>
      <c r="M43" s="177"/>
      <c r="N43" s="177"/>
      <c r="O43" s="177"/>
      <c r="P43" s="177"/>
      <c r="Q43" s="144"/>
      <c r="R43" s="143" t="str">
        <f t="shared" ref="R43:R98" si="21">IF(IF(ISNA(VLOOKUP(A43,StartList,7,FALSE)),"",VLOOKUP(A43,StartList,7,FALSE))=0,"",IF(ISNA(VLOOKUP(A43,StartList,7,FALSE)),"",VLOOKUP(A43,StartList,7,FALSE)))</f>
        <v>F</v>
      </c>
      <c r="S43" s="142" t="str">
        <f t="shared" ref="S43:S98" si="22">IF(IF(ISNA(VLOOKUP(A43,StartList,6,FALSE)),"",VLOOKUP(A43,StartList,6,FALSE))=0,"",IF(ISNA(VLOOKUP(A43,StartList,6,FALSE)),"",VLOOKUP(A43,StartList,6,FALSE)))</f>
        <v>1716241</v>
      </c>
      <c r="T43" s="374">
        <f t="shared" si="11"/>
        <v>1.7060185185185317E-2</v>
      </c>
      <c r="U43" s="372"/>
      <c r="V43" s="373"/>
      <c r="W43" s="374">
        <f t="shared" si="20"/>
        <v>1.5418738825505865E-2</v>
      </c>
      <c r="X43" s="375"/>
      <c r="Y43" s="375"/>
      <c r="Z43" s="375"/>
      <c r="AA43" s="376"/>
      <c r="AB43" s="145" t="str">
        <f t="shared" si="12"/>
        <v/>
      </c>
      <c r="AC43" s="341" t="str">
        <f t="shared" ref="AC43:AC106" si="23">IF(IF(ISNA(VLOOKUP(A43,StartList,17,FALSE)),"",VLOOKUP(A43,StartList,17,FALSE))=0,"",IF(ISNA(VLOOKUP(A43,StartList,17,FALSE)),"",VLOOKUP(A43,StartList,17,FALSE)))</f>
        <v/>
      </c>
      <c r="AD43" s="324"/>
      <c r="AE43" s="342"/>
      <c r="AF43" s="180"/>
      <c r="AG43" s="225"/>
      <c r="AH43" s="236">
        <f t="shared" ref="AH43:AH98" si="24">IF(T43="","",(T43-$T$10)/$T$10)</f>
        <v>0.25446808510637747</v>
      </c>
    </row>
    <row r="44" spans="1:34" ht="15" customHeight="1">
      <c r="A44" s="43">
        <v>35</v>
      </c>
      <c r="B44" s="141">
        <v>35</v>
      </c>
      <c r="C44" s="142">
        <f t="shared" si="0"/>
        <v>54</v>
      </c>
      <c r="D44" s="371" t="str">
        <f t="shared" si="15"/>
        <v>Callum Deboys</v>
      </c>
      <c r="E44" s="372"/>
      <c r="F44" s="372"/>
      <c r="G44" s="372"/>
      <c r="H44" s="372"/>
      <c r="I44" s="372"/>
      <c r="J44" s="373"/>
      <c r="K44" s="176" t="str">
        <f t="shared" si="10"/>
        <v>GTR - Return To Life</v>
      </c>
      <c r="L44" s="177"/>
      <c r="M44" s="177"/>
      <c r="N44" s="177"/>
      <c r="O44" s="177"/>
      <c r="P44" s="177"/>
      <c r="Q44" s="144"/>
      <c r="R44" s="143" t="str">
        <f t="shared" si="21"/>
        <v>S</v>
      </c>
      <c r="S44" s="142" t="str">
        <f t="shared" si="22"/>
        <v>1774761</v>
      </c>
      <c r="T44" s="374">
        <f t="shared" si="11"/>
        <v>1.7187500000000133E-2</v>
      </c>
      <c r="U44" s="372"/>
      <c r="V44" s="373"/>
      <c r="W44" s="374">
        <f t="shared" si="20"/>
        <v>1.4685428227726019E-2</v>
      </c>
      <c r="X44" s="375"/>
      <c r="Y44" s="375"/>
      <c r="Z44" s="375"/>
      <c r="AA44" s="376"/>
      <c r="AB44" s="145" t="str">
        <f t="shared" si="12"/>
        <v/>
      </c>
      <c r="AC44" s="341" t="str">
        <f t="shared" si="23"/>
        <v/>
      </c>
      <c r="AD44" s="324"/>
      <c r="AE44" s="342"/>
      <c r="AF44" s="180"/>
      <c r="AG44" s="225"/>
      <c r="AH44" s="236">
        <f t="shared" si="24"/>
        <v>0.26382978723403705</v>
      </c>
    </row>
    <row r="45" spans="1:34" ht="15" customHeight="1">
      <c r="A45" s="43">
        <v>36</v>
      </c>
      <c r="B45" s="141">
        <v>36</v>
      </c>
      <c r="C45" s="142">
        <f t="shared" si="0"/>
        <v>34</v>
      </c>
      <c r="D45" s="377" t="str">
        <f t="shared" si="15"/>
        <v>Andrew Paterson</v>
      </c>
      <c r="E45" s="378"/>
      <c r="F45" s="378"/>
      <c r="G45" s="378"/>
      <c r="H45" s="378"/>
      <c r="I45" s="378"/>
      <c r="J45" s="379"/>
      <c r="K45" s="176" t="str">
        <f t="shared" si="10"/>
        <v>Elgin CC</v>
      </c>
      <c r="L45" s="177"/>
      <c r="M45" s="177"/>
      <c r="N45" s="177"/>
      <c r="O45" s="177"/>
      <c r="P45" s="177"/>
      <c r="Q45" s="144"/>
      <c r="R45" s="143" t="str">
        <f t="shared" si="21"/>
        <v>JM</v>
      </c>
      <c r="S45" s="142" t="str">
        <f t="shared" si="22"/>
        <v>1820763</v>
      </c>
      <c r="T45" s="374">
        <f t="shared" si="11"/>
        <v>1.72337962962964E-2</v>
      </c>
      <c r="U45" s="372"/>
      <c r="V45" s="373"/>
      <c r="W45" s="374">
        <f t="shared" si="20"/>
        <v>1.4362243715979826E-2</v>
      </c>
      <c r="X45" s="375"/>
      <c r="Y45" s="375"/>
      <c r="Z45" s="375"/>
      <c r="AA45" s="376"/>
      <c r="AB45" s="145" t="str">
        <f t="shared" si="12"/>
        <v/>
      </c>
      <c r="AC45" s="341" t="str">
        <f t="shared" si="23"/>
        <v/>
      </c>
      <c r="AD45" s="324"/>
      <c r="AE45" s="342"/>
      <c r="AF45" s="180"/>
      <c r="AG45" s="225"/>
      <c r="AH45" s="236">
        <f t="shared" si="24"/>
        <v>0.26723404255318378</v>
      </c>
    </row>
    <row r="46" spans="1:34" ht="15" customHeight="1">
      <c r="A46" s="43">
        <v>37</v>
      </c>
      <c r="B46" s="141">
        <v>37</v>
      </c>
      <c r="C46" s="142">
        <f t="shared" si="0"/>
        <v>31</v>
      </c>
      <c r="D46" s="371" t="str">
        <f t="shared" si="15"/>
        <v>Angus Brumhead</v>
      </c>
      <c r="E46" s="372"/>
      <c r="F46" s="372"/>
      <c r="G46" s="372"/>
      <c r="H46" s="372"/>
      <c r="I46" s="372"/>
      <c r="J46" s="373"/>
      <c r="K46" s="176" t="str">
        <f t="shared" si="10"/>
        <v>Inverness Cycle Club</v>
      </c>
      <c r="L46" s="177"/>
      <c r="M46" s="177"/>
      <c r="N46" s="177"/>
      <c r="O46" s="177"/>
      <c r="P46" s="177"/>
      <c r="Q46" s="144"/>
      <c r="R46" s="143" t="str">
        <f t="shared" si="21"/>
        <v>V</v>
      </c>
      <c r="S46" s="142" t="str">
        <f t="shared" si="22"/>
        <v>1760731</v>
      </c>
      <c r="T46" s="374">
        <f t="shared" si="11"/>
        <v>1.7372685185185255E-2</v>
      </c>
      <c r="U46" s="372"/>
      <c r="V46" s="373"/>
      <c r="W46" s="374">
        <f t="shared" si="20"/>
        <v>1.380804679324248E-2</v>
      </c>
      <c r="X46" s="375"/>
      <c r="Y46" s="375"/>
      <c r="Z46" s="375"/>
      <c r="AA46" s="376"/>
      <c r="AB46" s="145" t="str">
        <f t="shared" si="12"/>
        <v>+</v>
      </c>
      <c r="AC46" s="341">
        <f t="shared" si="23"/>
        <v>3.2870370370369668E-3</v>
      </c>
      <c r="AD46" s="324"/>
      <c r="AE46" s="342"/>
      <c r="AF46" s="180"/>
      <c r="AG46" s="225"/>
      <c r="AH46" s="236">
        <f t="shared" si="24"/>
        <v>0.27744680851062797</v>
      </c>
    </row>
    <row r="47" spans="1:34" ht="15" customHeight="1">
      <c r="A47" s="43">
        <v>38</v>
      </c>
      <c r="B47" s="141">
        <v>38</v>
      </c>
      <c r="C47" s="142">
        <f t="shared" si="0"/>
        <v>11</v>
      </c>
      <c r="D47" s="371" t="str">
        <f t="shared" si="15"/>
        <v>Breagha Beaton</v>
      </c>
      <c r="E47" s="372"/>
      <c r="F47" s="372"/>
      <c r="G47" s="372"/>
      <c r="H47" s="372"/>
      <c r="I47" s="372"/>
      <c r="J47" s="373"/>
      <c r="K47" s="176" t="str">
        <f t="shared" si="10"/>
        <v>Moray Firth Cycling Club</v>
      </c>
      <c r="L47" s="177"/>
      <c r="M47" s="177"/>
      <c r="N47" s="177"/>
      <c r="O47" s="177"/>
      <c r="P47" s="177"/>
      <c r="Q47" s="144"/>
      <c r="R47" s="143" t="str">
        <f t="shared" si="21"/>
        <v>F</v>
      </c>
      <c r="S47" s="142" t="str">
        <f t="shared" si="22"/>
        <v>1726711</v>
      </c>
      <c r="T47" s="374">
        <f t="shared" si="11"/>
        <v>1.7442129629629655E-2</v>
      </c>
      <c r="U47" s="372"/>
      <c r="V47" s="373"/>
      <c r="W47" s="374">
        <f t="shared" si="20"/>
        <v>1.3598655751088703E-2</v>
      </c>
      <c r="X47" s="375"/>
      <c r="Y47" s="375"/>
      <c r="Z47" s="375"/>
      <c r="AA47" s="376"/>
      <c r="AB47" s="145" t="str">
        <f t="shared" si="12"/>
        <v/>
      </c>
      <c r="AC47" s="341" t="str">
        <f t="shared" si="23"/>
        <v/>
      </c>
      <c r="AD47" s="324"/>
      <c r="AE47" s="342"/>
      <c r="AF47" s="180"/>
      <c r="AG47" s="225"/>
      <c r="AH47" s="236">
        <f t="shared" si="24"/>
        <v>0.28255319148934804</v>
      </c>
    </row>
    <row r="48" spans="1:34" ht="15" customHeight="1">
      <c r="A48" s="43">
        <v>39</v>
      </c>
      <c r="B48" s="141">
        <v>39</v>
      </c>
      <c r="C48" s="142">
        <f t="shared" si="0"/>
        <v>61</v>
      </c>
      <c r="D48" s="371" t="str">
        <f t="shared" si="15"/>
        <v>Darren Wisniewski</v>
      </c>
      <c r="E48" s="372"/>
      <c r="F48" s="372"/>
      <c r="G48" s="372"/>
      <c r="H48" s="372"/>
      <c r="I48" s="372"/>
      <c r="J48" s="373"/>
      <c r="K48" s="176" t="str">
        <f t="shared" si="10"/>
        <v/>
      </c>
      <c r="L48" s="177"/>
      <c r="M48" s="177"/>
      <c r="N48" s="177"/>
      <c r="O48" s="177"/>
      <c r="P48" s="177"/>
      <c r="Q48" s="144"/>
      <c r="R48" s="143" t="str">
        <f t="shared" si="21"/>
        <v>S</v>
      </c>
      <c r="S48" s="142" t="str">
        <f t="shared" si="22"/>
        <v>1863190</v>
      </c>
      <c r="T48" s="374">
        <f t="shared" si="11"/>
        <v>1.7488425925926088E-2</v>
      </c>
      <c r="U48" s="372"/>
      <c r="V48" s="373"/>
      <c r="W48" s="374">
        <f t="shared" si="20"/>
        <v>1.4491876943865088E-2</v>
      </c>
      <c r="X48" s="375"/>
      <c r="Y48" s="375"/>
      <c r="Z48" s="375"/>
      <c r="AA48" s="376"/>
      <c r="AB48" s="145" t="str">
        <f t="shared" si="12"/>
        <v/>
      </c>
      <c r="AC48" s="341" t="str">
        <f t="shared" si="23"/>
        <v/>
      </c>
      <c r="AD48" s="324"/>
      <c r="AE48" s="342"/>
      <c r="AF48" s="180"/>
      <c r="AG48" s="225"/>
      <c r="AH48" s="236">
        <f t="shared" si="24"/>
        <v>0.28595744680850699</v>
      </c>
    </row>
    <row r="49" spans="1:34" ht="15" customHeight="1">
      <c r="A49" s="43">
        <v>40</v>
      </c>
      <c r="B49" s="141">
        <v>40</v>
      </c>
      <c r="C49" s="142">
        <f t="shared" si="0"/>
        <v>51</v>
      </c>
      <c r="D49" s="371" t="str">
        <f t="shared" si="15"/>
        <v>Paul Parrish</v>
      </c>
      <c r="E49" s="372"/>
      <c r="F49" s="372"/>
      <c r="G49" s="372"/>
      <c r="H49" s="372"/>
      <c r="I49" s="372"/>
      <c r="J49" s="373"/>
      <c r="K49" s="176" t="str">
        <f t="shared" si="10"/>
        <v>Cairngorm CC</v>
      </c>
      <c r="L49" s="177"/>
      <c r="M49" s="177"/>
      <c r="N49" s="177"/>
      <c r="O49" s="177"/>
      <c r="P49" s="177"/>
      <c r="Q49" s="144"/>
      <c r="R49" s="143" t="str">
        <f t="shared" si="21"/>
        <v>V</v>
      </c>
      <c r="S49" s="142" t="str">
        <f t="shared" si="22"/>
        <v>966611</v>
      </c>
      <c r="T49" s="374">
        <f t="shared" si="11"/>
        <v>1.7569444444444582E-2</v>
      </c>
      <c r="U49" s="372"/>
      <c r="V49" s="373"/>
      <c r="W49" s="374">
        <f t="shared" si="20"/>
        <v>1.4620888136926696E-2</v>
      </c>
      <c r="X49" s="375"/>
      <c r="Y49" s="375"/>
      <c r="Z49" s="375"/>
      <c r="AA49" s="376"/>
      <c r="AB49" s="145" t="str">
        <f t="shared" si="12"/>
        <v>+</v>
      </c>
      <c r="AC49" s="341">
        <f t="shared" si="23"/>
        <v>1.7824074074072709E-3</v>
      </c>
      <c r="AD49" s="324"/>
      <c r="AE49" s="342"/>
      <c r="AF49" s="180"/>
      <c r="AG49" s="225"/>
      <c r="AH49" s="236">
        <f t="shared" si="24"/>
        <v>0.29191489361701578</v>
      </c>
    </row>
    <row r="50" spans="1:34" ht="15" customHeight="1">
      <c r="A50" s="43">
        <v>41</v>
      </c>
      <c r="B50" s="141">
        <v>41</v>
      </c>
      <c r="C50" s="142">
        <f t="shared" si="0"/>
        <v>18</v>
      </c>
      <c r="D50" s="371" t="str">
        <f t="shared" si="15"/>
        <v>Ian Grant</v>
      </c>
      <c r="E50" s="372"/>
      <c r="F50" s="372"/>
      <c r="G50" s="372"/>
      <c r="H50" s="372"/>
      <c r="I50" s="372"/>
      <c r="J50" s="373"/>
      <c r="K50" s="176" t="str">
        <f t="shared" si="10"/>
        <v>Deeside Thistle CC</v>
      </c>
      <c r="L50" s="177"/>
      <c r="M50" s="177"/>
      <c r="N50" s="177"/>
      <c r="O50" s="177"/>
      <c r="P50" s="177"/>
      <c r="Q50" s="144"/>
      <c r="R50" s="143" t="str">
        <f t="shared" si="21"/>
        <v>V</v>
      </c>
      <c r="S50" s="142" t="str">
        <f t="shared" si="22"/>
        <v>460001</v>
      </c>
      <c r="T50" s="374">
        <f t="shared" si="11"/>
        <v>1.759259259259266E-2</v>
      </c>
      <c r="U50" s="372"/>
      <c r="V50" s="373"/>
      <c r="W50" s="374">
        <f t="shared" si="20"/>
        <v>1.4856442897895009E-2</v>
      </c>
      <c r="X50" s="375"/>
      <c r="Y50" s="375"/>
      <c r="Z50" s="375"/>
      <c r="AA50" s="376"/>
      <c r="AB50" s="145" t="str">
        <f t="shared" si="12"/>
        <v>+</v>
      </c>
      <c r="AC50" s="341">
        <f t="shared" si="23"/>
        <v>1.6782407407406746E-3</v>
      </c>
      <c r="AD50" s="324"/>
      <c r="AE50" s="342"/>
      <c r="AF50" s="180"/>
      <c r="AG50" s="225"/>
      <c r="AH50" s="236">
        <f t="shared" si="24"/>
        <v>0.29361702127658501</v>
      </c>
    </row>
    <row r="51" spans="1:34" ht="15" customHeight="1">
      <c r="A51" s="43">
        <v>42</v>
      </c>
      <c r="B51" s="141">
        <v>42</v>
      </c>
      <c r="C51" s="142">
        <f t="shared" si="0"/>
        <v>12</v>
      </c>
      <c r="D51" s="371" t="str">
        <f t="shared" si="15"/>
        <v>Ruth Jeays</v>
      </c>
      <c r="E51" s="372"/>
      <c r="F51" s="372"/>
      <c r="G51" s="372"/>
      <c r="H51" s="372"/>
      <c r="I51" s="372"/>
      <c r="J51" s="373"/>
      <c r="K51" s="176" t="str">
        <f t="shared" si="10"/>
        <v>Revolution CT</v>
      </c>
      <c r="L51" s="177"/>
      <c r="M51" s="177"/>
      <c r="N51" s="177"/>
      <c r="O51" s="177"/>
      <c r="P51" s="177"/>
      <c r="Q51" s="144"/>
      <c r="R51" s="143" t="str">
        <f t="shared" si="21"/>
        <v>FV</v>
      </c>
      <c r="S51" s="142" t="str">
        <f t="shared" si="22"/>
        <v>1009647</v>
      </c>
      <c r="T51" s="374">
        <f t="shared" si="11"/>
        <v>1.7685185185185193E-2</v>
      </c>
      <c r="U51" s="372"/>
      <c r="V51" s="373"/>
      <c r="W51" s="374">
        <f t="shared" si="20"/>
        <v>1.3676010121253482E-2</v>
      </c>
      <c r="X51" s="375"/>
      <c r="Y51" s="375"/>
      <c r="Z51" s="375"/>
      <c r="AA51" s="376"/>
      <c r="AB51" s="145" t="str">
        <f t="shared" si="12"/>
        <v>+</v>
      </c>
      <c r="AC51" s="341">
        <f t="shared" si="23"/>
        <v>2.1180555555555466E-3</v>
      </c>
      <c r="AD51" s="324"/>
      <c r="AE51" s="342"/>
      <c r="AF51" s="180"/>
      <c r="AG51" s="225"/>
      <c r="AH51" s="236">
        <f t="shared" si="24"/>
        <v>0.30042553191487842</v>
      </c>
    </row>
    <row r="52" spans="1:34" ht="15" customHeight="1">
      <c r="A52" s="43">
        <v>43</v>
      </c>
      <c r="B52" s="141">
        <v>43</v>
      </c>
      <c r="C52" s="142">
        <f t="shared" si="0"/>
        <v>42</v>
      </c>
      <c r="D52" s="371" t="str">
        <f t="shared" si="15"/>
        <v>Martin Lugg</v>
      </c>
      <c r="E52" s="372"/>
      <c r="F52" s="372"/>
      <c r="G52" s="372"/>
      <c r="H52" s="372"/>
      <c r="I52" s="372"/>
      <c r="J52" s="373"/>
      <c r="K52" s="176" t="str">
        <f t="shared" si="10"/>
        <v>Revolution CT</v>
      </c>
      <c r="L52" s="177"/>
      <c r="M52" s="177"/>
      <c r="N52" s="177"/>
      <c r="O52" s="177"/>
      <c r="P52" s="177"/>
      <c r="Q52" s="144"/>
      <c r="R52" s="143" t="str">
        <f t="shared" si="21"/>
        <v>V</v>
      </c>
      <c r="S52" s="142" t="str">
        <f t="shared" si="22"/>
        <v>442330</v>
      </c>
      <c r="T52" s="374">
        <f t="shared" si="11"/>
        <v>1.7719907407407531E-2</v>
      </c>
      <c r="U52" s="372"/>
      <c r="V52" s="373"/>
      <c r="W52" s="374">
        <f t="shared" si="20"/>
        <v>1.3959730782830145E-2</v>
      </c>
      <c r="X52" s="375"/>
      <c r="Y52" s="375"/>
      <c r="Z52" s="375"/>
      <c r="AA52" s="376"/>
      <c r="AB52" s="145" t="str">
        <f t="shared" si="12"/>
        <v>+</v>
      </c>
      <c r="AC52" s="341">
        <f t="shared" si="23"/>
        <v>2.0717592592591344E-3</v>
      </c>
      <c r="AD52" s="324"/>
      <c r="AE52" s="342"/>
      <c r="AF52" s="180"/>
      <c r="AG52" s="225"/>
      <c r="AH52" s="236">
        <f t="shared" si="24"/>
        <v>0.3029787234042487</v>
      </c>
    </row>
    <row r="53" spans="1:34" ht="15" customHeight="1">
      <c r="A53" s="43">
        <v>44</v>
      </c>
      <c r="B53" s="141">
        <v>44</v>
      </c>
      <c r="C53" s="142">
        <f t="shared" si="0"/>
        <v>21</v>
      </c>
      <c r="D53" s="371" t="str">
        <f t="shared" si="15"/>
        <v>Amy Renwick</v>
      </c>
      <c r="E53" s="372"/>
      <c r="F53" s="372"/>
      <c r="G53" s="372"/>
      <c r="H53" s="372"/>
      <c r="I53" s="372"/>
      <c r="J53" s="373"/>
      <c r="K53" s="176" t="str">
        <f t="shared" si="10"/>
        <v>Moray Firth Cycling Club</v>
      </c>
      <c r="L53" s="177"/>
      <c r="M53" s="177"/>
      <c r="N53" s="177"/>
      <c r="O53" s="177"/>
      <c r="P53" s="177"/>
      <c r="Q53" s="144"/>
      <c r="R53" s="143" t="str">
        <f t="shared" si="21"/>
        <v>F</v>
      </c>
      <c r="S53" s="142" t="str">
        <f t="shared" si="22"/>
        <v>1553215</v>
      </c>
      <c r="T53" s="374">
        <f t="shared" si="11"/>
        <v>1.7847222222222292E-2</v>
      </c>
      <c r="U53" s="372"/>
      <c r="V53" s="373"/>
      <c r="W53" s="374">
        <f t="shared" si="20"/>
        <v>1.3755637747388253E-2</v>
      </c>
      <c r="X53" s="375"/>
      <c r="Y53" s="375"/>
      <c r="Z53" s="375"/>
      <c r="AA53" s="376"/>
      <c r="AB53" s="145" t="str">
        <f t="shared" si="12"/>
        <v/>
      </c>
      <c r="AC53" s="341" t="str">
        <f t="shared" si="23"/>
        <v/>
      </c>
      <c r="AD53" s="324"/>
      <c r="AE53" s="342"/>
      <c r="AF53" s="180"/>
      <c r="AG53" s="225"/>
      <c r="AH53" s="236">
        <f t="shared" si="24"/>
        <v>0.31234042553190416</v>
      </c>
    </row>
    <row r="54" spans="1:34" ht="15" customHeight="1">
      <c r="A54" s="43">
        <v>45</v>
      </c>
      <c r="B54" s="141">
        <v>45</v>
      </c>
      <c r="C54" s="142">
        <f t="shared" si="0"/>
        <v>28</v>
      </c>
      <c r="D54" s="371" t="str">
        <f t="shared" si="15"/>
        <v>Phil Cameron</v>
      </c>
      <c r="E54" s="372"/>
      <c r="F54" s="372"/>
      <c r="G54" s="372"/>
      <c r="H54" s="372"/>
      <c r="I54" s="372"/>
      <c r="J54" s="373"/>
      <c r="K54" s="176" t="str">
        <f t="shared" si="10"/>
        <v>Elgin CC</v>
      </c>
      <c r="L54" s="177"/>
      <c r="M54" s="177"/>
      <c r="N54" s="177"/>
      <c r="O54" s="177"/>
      <c r="P54" s="177"/>
      <c r="Q54" s="144"/>
      <c r="R54" s="143" t="str">
        <f t="shared" si="21"/>
        <v>V</v>
      </c>
      <c r="S54" s="142" t="str">
        <f t="shared" si="22"/>
        <v>1736632</v>
      </c>
      <c r="T54" s="374">
        <f t="shared" si="11"/>
        <v>1.7939814814809999E-2</v>
      </c>
      <c r="U54" s="372"/>
      <c r="V54" s="373"/>
      <c r="W54" s="374">
        <f t="shared" si="20"/>
        <v>1.4895375875207431E-2</v>
      </c>
      <c r="X54" s="375"/>
      <c r="Y54" s="375"/>
      <c r="Z54" s="375"/>
      <c r="AA54" s="376"/>
      <c r="AB54" s="145" t="str">
        <f t="shared" si="12"/>
        <v>+</v>
      </c>
      <c r="AC54" s="341">
        <f t="shared" si="23"/>
        <v>1.967592592640767E-4</v>
      </c>
      <c r="AD54" s="324"/>
      <c r="AE54" s="342"/>
      <c r="AF54" s="180"/>
      <c r="AG54" s="225"/>
      <c r="AH54" s="236">
        <f t="shared" si="24"/>
        <v>0.31914893616984269</v>
      </c>
    </row>
    <row r="55" spans="1:34" ht="15" customHeight="1">
      <c r="A55" s="43">
        <v>46</v>
      </c>
      <c r="B55" s="141">
        <v>46</v>
      </c>
      <c r="C55" s="142">
        <f t="shared" si="0"/>
        <v>36</v>
      </c>
      <c r="D55" s="377" t="str">
        <f t="shared" si="15"/>
        <v>Malcolm Cleghorn</v>
      </c>
      <c r="E55" s="378"/>
      <c r="F55" s="378"/>
      <c r="G55" s="378"/>
      <c r="H55" s="378"/>
      <c r="I55" s="378"/>
      <c r="J55" s="379"/>
      <c r="K55" s="176" t="str">
        <f t="shared" si="10"/>
        <v>Ross-Shire RCC</v>
      </c>
      <c r="L55" s="177"/>
      <c r="M55" s="177"/>
      <c r="N55" s="177"/>
      <c r="O55" s="177"/>
      <c r="P55" s="177"/>
      <c r="Q55" s="144"/>
      <c r="R55" s="143" t="str">
        <f t="shared" si="21"/>
        <v>V</v>
      </c>
      <c r="S55" s="142" t="str">
        <f t="shared" si="22"/>
        <v>1090352</v>
      </c>
      <c r="T55" s="374">
        <f t="shared" si="11"/>
        <v>1.8182870370370474E-2</v>
      </c>
      <c r="U55" s="372"/>
      <c r="V55" s="373"/>
      <c r="W55" s="374">
        <f t="shared" si="20"/>
        <v>1.3881998437120235E-2</v>
      </c>
      <c r="X55" s="375"/>
      <c r="Y55" s="375"/>
      <c r="Z55" s="375"/>
      <c r="AA55" s="376"/>
      <c r="AB55" s="145" t="str">
        <f t="shared" si="12"/>
        <v>+</v>
      </c>
      <c r="AC55" s="341">
        <f t="shared" si="23"/>
        <v>1.0879629629628601E-3</v>
      </c>
      <c r="AD55" s="324"/>
      <c r="AE55" s="342"/>
      <c r="AF55" s="180"/>
      <c r="AG55" s="225"/>
      <c r="AH55" s="236">
        <f t="shared" si="24"/>
        <v>0.33702127659573616</v>
      </c>
    </row>
    <row r="56" spans="1:34" ht="15" customHeight="1">
      <c r="A56" s="43">
        <v>47</v>
      </c>
      <c r="B56" s="141">
        <v>47</v>
      </c>
      <c r="C56" s="142">
        <f t="shared" si="0"/>
        <v>2</v>
      </c>
      <c r="D56" s="371" t="str">
        <f t="shared" si="15"/>
        <v>Stan MacKenzie</v>
      </c>
      <c r="E56" s="372"/>
      <c r="F56" s="372"/>
      <c r="G56" s="372"/>
      <c r="H56" s="372"/>
      <c r="I56" s="372"/>
      <c r="J56" s="373"/>
      <c r="K56" s="176" t="str">
        <f t="shared" si="10"/>
        <v>Ross-Shire RCC</v>
      </c>
      <c r="L56" s="177"/>
      <c r="M56" s="177"/>
      <c r="N56" s="177"/>
      <c r="O56" s="177"/>
      <c r="P56" s="177"/>
      <c r="Q56" s="144"/>
      <c r="R56" s="143" t="str">
        <f t="shared" si="21"/>
        <v>V</v>
      </c>
      <c r="S56" s="142" t="str">
        <f t="shared" si="22"/>
        <v>1062018</v>
      </c>
      <c r="T56" s="374">
        <f t="shared" si="11"/>
        <v>1.8402777777777768E-2</v>
      </c>
      <c r="U56" s="372"/>
      <c r="V56" s="373"/>
      <c r="W56" s="374">
        <f t="shared" si="20"/>
        <v>1.3912439975820121E-2</v>
      </c>
      <c r="X56" s="375"/>
      <c r="Y56" s="375"/>
      <c r="Z56" s="375"/>
      <c r="AA56" s="376"/>
      <c r="AB56" s="145" t="str">
        <f t="shared" si="12"/>
        <v>+</v>
      </c>
      <c r="AC56" s="341">
        <f t="shared" si="23"/>
        <v>1.0300925925926033E-3</v>
      </c>
      <c r="AD56" s="324"/>
      <c r="AE56" s="342"/>
      <c r="AF56" s="180"/>
      <c r="AG56" s="225"/>
      <c r="AH56" s="236">
        <f t="shared" si="24"/>
        <v>0.35319148936168504</v>
      </c>
    </row>
    <row r="57" spans="1:34" ht="15" customHeight="1">
      <c r="A57" s="43">
        <v>48</v>
      </c>
      <c r="B57" s="141">
        <v>48</v>
      </c>
      <c r="C57" s="142">
        <f t="shared" si="0"/>
        <v>26</v>
      </c>
      <c r="D57" s="371" t="str">
        <f t="shared" si="15"/>
        <v>Innis Mitchell</v>
      </c>
      <c r="E57" s="372"/>
      <c r="F57" s="372"/>
      <c r="G57" s="372"/>
      <c r="H57" s="372"/>
      <c r="I57" s="372"/>
      <c r="J57" s="373"/>
      <c r="K57" s="176" t="str">
        <f t="shared" si="10"/>
        <v>Ross-Shire RCC</v>
      </c>
      <c r="L57" s="177"/>
      <c r="M57" s="177"/>
      <c r="N57" s="177"/>
      <c r="O57" s="177"/>
      <c r="P57" s="177"/>
      <c r="Q57" s="144"/>
      <c r="R57" s="143" t="str">
        <f t="shared" si="21"/>
        <v>V</v>
      </c>
      <c r="S57" s="142" t="str">
        <f t="shared" si="22"/>
        <v>838764</v>
      </c>
      <c r="T57" s="374">
        <f t="shared" si="11"/>
        <v>1.8738425925926006E-2</v>
      </c>
      <c r="U57" s="372"/>
      <c r="V57" s="373"/>
      <c r="W57" s="374">
        <f t="shared" si="20"/>
        <v>1.531448442855262E-2</v>
      </c>
      <c r="X57" s="375"/>
      <c r="Y57" s="375"/>
      <c r="Z57" s="375"/>
      <c r="AA57" s="376"/>
      <c r="AB57" s="145" t="str">
        <f t="shared" si="12"/>
        <v>+</v>
      </c>
      <c r="AC57" s="341">
        <f t="shared" si="23"/>
        <v>2.4305555555554775E-3</v>
      </c>
      <c r="AD57" s="324"/>
      <c r="AE57" s="342"/>
      <c r="AF57" s="180"/>
      <c r="AG57" s="225"/>
      <c r="AH57" s="236">
        <f t="shared" si="24"/>
        <v>0.37787234042552109</v>
      </c>
    </row>
    <row r="58" spans="1:34" ht="15" customHeight="1">
      <c r="A58" s="43">
        <v>49</v>
      </c>
      <c r="B58" s="141">
        <v>49</v>
      </c>
      <c r="C58" s="142">
        <f t="shared" si="0"/>
        <v>19</v>
      </c>
      <c r="D58" s="371" t="str">
        <f t="shared" si="15"/>
        <v>Zoe Newsam</v>
      </c>
      <c r="E58" s="372"/>
      <c r="F58" s="372"/>
      <c r="G58" s="372"/>
      <c r="H58" s="372"/>
      <c r="I58" s="372"/>
      <c r="J58" s="373"/>
      <c r="K58" s="176" t="str">
        <f t="shared" si="10"/>
        <v>Scottish Veterans T.T.A.</v>
      </c>
      <c r="L58" s="177"/>
      <c r="M58" s="177"/>
      <c r="N58" s="177"/>
      <c r="O58" s="177"/>
      <c r="P58" s="177"/>
      <c r="Q58" s="144"/>
      <c r="R58" s="143" t="str">
        <f t="shared" si="21"/>
        <v>FV</v>
      </c>
      <c r="S58" s="142" t="str">
        <f t="shared" si="22"/>
        <v>920951</v>
      </c>
      <c r="T58" s="374">
        <f t="shared" si="11"/>
        <v>1.9490740740740808E-2</v>
      </c>
      <c r="U58" s="372"/>
      <c r="V58" s="373"/>
      <c r="W58" s="374">
        <f t="shared" si="20"/>
        <v>1.2561430346909912E-2</v>
      </c>
      <c r="X58" s="375"/>
      <c r="Y58" s="375"/>
      <c r="Z58" s="375"/>
      <c r="AA58" s="376"/>
      <c r="AB58" s="145" t="str">
        <f t="shared" si="12"/>
        <v>+</v>
      </c>
      <c r="AC58" s="341">
        <f t="shared" si="23"/>
        <v>7.175925925925232E-4</v>
      </c>
      <c r="AD58" s="324"/>
      <c r="AE58" s="342"/>
      <c r="AF58" s="180"/>
      <c r="AG58" s="225"/>
      <c r="AH58" s="236">
        <f t="shared" si="24"/>
        <v>0.43319148936168977</v>
      </c>
    </row>
    <row r="59" spans="1:34" ht="15" customHeight="1">
      <c r="A59" s="43">
        <v>50</v>
      </c>
      <c r="B59" s="141">
        <v>50</v>
      </c>
      <c r="C59" s="142">
        <f t="shared" si="0"/>
        <v>56</v>
      </c>
      <c r="D59" s="371" t="str">
        <f t="shared" si="15"/>
        <v>Alasdair Washington</v>
      </c>
      <c r="E59" s="372"/>
      <c r="F59" s="372"/>
      <c r="G59" s="372"/>
      <c r="H59" s="372"/>
      <c r="I59" s="372"/>
      <c r="J59" s="373"/>
      <c r="K59" s="176" t="str">
        <f t="shared" si="10"/>
        <v>Caithness CC</v>
      </c>
      <c r="L59" s="177"/>
      <c r="M59" s="177"/>
      <c r="N59" s="177"/>
      <c r="O59" s="177"/>
      <c r="P59" s="177"/>
      <c r="Q59" s="144"/>
      <c r="R59" s="143" t="str">
        <f t="shared" si="21"/>
        <v>V</v>
      </c>
      <c r="S59" s="142" t="str">
        <f t="shared" si="22"/>
        <v>202161</v>
      </c>
      <c r="T59" s="374">
        <f t="shared" si="11"/>
        <v>1.9872685185185313E-2</v>
      </c>
      <c r="U59" s="372"/>
      <c r="V59" s="373"/>
      <c r="W59" s="374">
        <f t="shared" si="20"/>
        <v>1.5158770623279128E-2</v>
      </c>
      <c r="X59" s="375"/>
      <c r="Y59" s="375"/>
      <c r="Z59" s="375"/>
      <c r="AA59" s="376"/>
      <c r="AB59" s="145" t="str">
        <f t="shared" si="12"/>
        <v>+</v>
      </c>
      <c r="AC59" s="341">
        <f t="shared" si="23"/>
        <v>4.4791666666665376E-3</v>
      </c>
      <c r="AD59" s="324"/>
      <c r="AE59" s="342"/>
      <c r="AF59" s="180"/>
      <c r="AG59" s="225"/>
      <c r="AH59" s="236">
        <f t="shared" si="24"/>
        <v>0.46127659574467256</v>
      </c>
    </row>
    <row r="60" spans="1:34" ht="15" customHeight="1">
      <c r="A60" s="43">
        <v>51</v>
      </c>
      <c r="B60" s="141">
        <v>51</v>
      </c>
      <c r="C60" s="142">
        <f t="shared" si="0"/>
        <v>6</v>
      </c>
      <c r="D60" s="377" t="str">
        <f t="shared" si="15"/>
        <v>julie cleghorn</v>
      </c>
      <c r="E60" s="378"/>
      <c r="F60" s="378"/>
      <c r="G60" s="378"/>
      <c r="H60" s="378"/>
      <c r="I60" s="378"/>
      <c r="J60" s="379"/>
      <c r="K60" s="176" t="str">
        <f t="shared" si="10"/>
        <v>Ross-Shire RCC</v>
      </c>
      <c r="L60" s="177"/>
      <c r="M60" s="177"/>
      <c r="N60" s="177"/>
      <c r="O60" s="177"/>
      <c r="P60" s="177"/>
      <c r="Q60" s="144"/>
      <c r="R60" s="143" t="str">
        <f t="shared" si="21"/>
        <v>FV</v>
      </c>
      <c r="S60" s="142" t="str">
        <f t="shared" si="22"/>
        <v/>
      </c>
      <c r="T60" s="374">
        <f t="shared" si="11"/>
        <v>2.0046296296296284E-2</v>
      </c>
      <c r="U60" s="372"/>
      <c r="V60" s="373"/>
      <c r="W60" s="374">
        <f t="shared" si="20"/>
        <v>1.4338958851117276E-2</v>
      </c>
      <c r="X60" s="375"/>
      <c r="Y60" s="375"/>
      <c r="Z60" s="375"/>
      <c r="AA60" s="376"/>
      <c r="AB60" s="145" t="str">
        <f t="shared" si="12"/>
        <v>+</v>
      </c>
      <c r="AC60" s="341">
        <f t="shared" si="23"/>
        <v>7.2916666666668004E-4</v>
      </c>
      <c r="AD60" s="324"/>
      <c r="AE60" s="342"/>
      <c r="AF60" s="180"/>
      <c r="AG60" s="225"/>
      <c r="AH60" s="236">
        <f t="shared" si="24"/>
        <v>0.47404255319147065</v>
      </c>
    </row>
    <row r="61" spans="1:34" ht="15" customHeight="1">
      <c r="A61" s="43">
        <v>52</v>
      </c>
      <c r="B61" s="141">
        <v>52</v>
      </c>
      <c r="C61" s="142">
        <f t="shared" si="0"/>
        <v>49</v>
      </c>
      <c r="D61" s="371" t="str">
        <f t="shared" si="15"/>
        <v>Hector Nicolson</v>
      </c>
      <c r="E61" s="372"/>
      <c r="F61" s="372"/>
      <c r="G61" s="372"/>
      <c r="H61" s="372"/>
      <c r="I61" s="372"/>
      <c r="J61" s="373"/>
      <c r="K61" s="176" t="str">
        <f t="shared" si="10"/>
        <v>Moray Firth Cycling Club</v>
      </c>
      <c r="L61" s="177"/>
      <c r="M61" s="177"/>
      <c r="N61" s="177"/>
      <c r="O61" s="177"/>
      <c r="P61" s="177"/>
      <c r="Q61" s="144"/>
      <c r="R61" s="143" t="str">
        <f t="shared" si="21"/>
        <v>V</v>
      </c>
      <c r="S61" s="142" t="str">
        <f t="shared" si="22"/>
        <v>703907</v>
      </c>
      <c r="T61" s="374">
        <f t="shared" si="11"/>
        <v>2.0289351851851989E-2</v>
      </c>
      <c r="U61" s="372"/>
      <c r="V61" s="373"/>
      <c r="W61" s="374">
        <f t="shared" si="20"/>
        <v>1.571828093350516E-2</v>
      </c>
      <c r="X61" s="375"/>
      <c r="Y61" s="375"/>
      <c r="Z61" s="375"/>
      <c r="AA61" s="376"/>
      <c r="AB61" s="145" t="str">
        <f t="shared" si="12"/>
        <v>-</v>
      </c>
      <c r="AC61" s="341">
        <f t="shared" si="23"/>
        <v>1.7361111111124927E-4</v>
      </c>
      <c r="AD61" s="324"/>
      <c r="AE61" s="342"/>
      <c r="AF61" s="180"/>
      <c r="AG61" s="225"/>
      <c r="AH61" s="236">
        <f t="shared" si="24"/>
        <v>0.49191489361701329</v>
      </c>
    </row>
    <row r="62" spans="1:34" ht="15" customHeight="1">
      <c r="A62" s="43">
        <v>53</v>
      </c>
      <c r="B62" s="141">
        <v>53</v>
      </c>
      <c r="C62" s="142">
        <f t="shared" si="0"/>
        <v>46</v>
      </c>
      <c r="D62" s="371" t="str">
        <f t="shared" si="15"/>
        <v>Paul Mason</v>
      </c>
      <c r="E62" s="372"/>
      <c r="F62" s="372"/>
      <c r="G62" s="372"/>
      <c r="H62" s="372"/>
      <c r="I62" s="372"/>
      <c r="J62" s="373"/>
      <c r="K62" s="176" t="str">
        <f t="shared" si="10"/>
        <v>Royal Navy Cycling</v>
      </c>
      <c r="L62" s="177"/>
      <c r="M62" s="177"/>
      <c r="N62" s="177"/>
      <c r="O62" s="177"/>
      <c r="P62" s="177"/>
      <c r="Q62" s="144"/>
      <c r="R62" s="143" t="str">
        <f t="shared" si="21"/>
        <v>V</v>
      </c>
      <c r="S62" s="142" t="str">
        <f t="shared" si="22"/>
        <v>1821975</v>
      </c>
      <c r="T62" s="374">
        <f t="shared" si="11"/>
        <v>2.0520833333333433E-2</v>
      </c>
      <c r="U62" s="372"/>
      <c r="V62" s="373"/>
      <c r="W62" s="374">
        <f t="shared" si="20"/>
        <v>1.393418872325429E-2</v>
      </c>
      <c r="X62" s="375"/>
      <c r="Y62" s="375"/>
      <c r="Z62" s="375"/>
      <c r="AA62" s="376"/>
      <c r="AB62" s="145" t="str">
        <f t="shared" si="12"/>
        <v>-</v>
      </c>
      <c r="AC62" s="341">
        <f t="shared" si="23"/>
        <v>1.6898148148149147E-3</v>
      </c>
      <c r="AD62" s="324"/>
      <c r="AE62" s="342"/>
      <c r="AF62" s="180"/>
      <c r="AG62" s="225"/>
      <c r="AH62" s="236">
        <f t="shared" si="24"/>
        <v>0.50893617021275495</v>
      </c>
    </row>
    <row r="63" spans="1:34" ht="15" customHeight="1">
      <c r="A63" s="43">
        <v>54</v>
      </c>
      <c r="B63" s="141">
        <v>54</v>
      </c>
      <c r="C63" s="142">
        <f t="shared" si="0"/>
        <v>29</v>
      </c>
      <c r="D63" s="377" t="str">
        <f t="shared" si="15"/>
        <v>Christine Brumhead</v>
      </c>
      <c r="E63" s="378"/>
      <c r="F63" s="378"/>
      <c r="G63" s="378"/>
      <c r="H63" s="378"/>
      <c r="I63" s="378"/>
      <c r="J63" s="379"/>
      <c r="K63" s="176" t="str">
        <f t="shared" si="10"/>
        <v>Inverness Cycle Club</v>
      </c>
      <c r="L63" s="177"/>
      <c r="M63" s="177"/>
      <c r="N63" s="177"/>
      <c r="O63" s="177"/>
      <c r="P63" s="177"/>
      <c r="Q63" s="144"/>
      <c r="R63" s="143" t="str">
        <f t="shared" si="21"/>
        <v>FV</v>
      </c>
      <c r="S63" s="142" t="str">
        <f t="shared" si="22"/>
        <v>1760730</v>
      </c>
      <c r="T63" s="374">
        <f t="shared" si="11"/>
        <v>2.1377314814809999E-2</v>
      </c>
      <c r="U63" s="372"/>
      <c r="V63" s="373"/>
      <c r="W63" s="374">
        <f t="shared" si="20"/>
        <v>1.4610549025697386E-2</v>
      </c>
      <c r="X63" s="375"/>
      <c r="Y63" s="375"/>
      <c r="Z63" s="375"/>
      <c r="AA63" s="376"/>
      <c r="AB63" s="145" t="str">
        <f t="shared" si="12"/>
        <v>+</v>
      </c>
      <c r="AC63" s="341">
        <f t="shared" si="23"/>
        <v>2.4305555556037098E-4</v>
      </c>
      <c r="AD63" s="324"/>
      <c r="AE63" s="342"/>
      <c r="AF63" s="180"/>
      <c r="AG63" s="225"/>
      <c r="AH63" s="236">
        <f t="shared" si="24"/>
        <v>0.57191489361664816</v>
      </c>
    </row>
    <row r="64" spans="1:34" ht="15" customHeight="1">
      <c r="A64" s="43">
        <v>55</v>
      </c>
      <c r="B64" s="141">
        <v>55</v>
      </c>
      <c r="C64" s="142">
        <f t="shared" si="0"/>
        <v>39</v>
      </c>
      <c r="D64" s="371" t="str">
        <f t="shared" si="15"/>
        <v>George Grant</v>
      </c>
      <c r="E64" s="372"/>
      <c r="F64" s="372"/>
      <c r="G64" s="372"/>
      <c r="H64" s="372"/>
      <c r="I64" s="372"/>
      <c r="J64" s="373"/>
      <c r="K64" s="176" t="str">
        <f t="shared" si="10"/>
        <v>Forres CC</v>
      </c>
      <c r="L64" s="177"/>
      <c r="M64" s="177"/>
      <c r="N64" s="177"/>
      <c r="O64" s="177"/>
      <c r="P64" s="177"/>
      <c r="Q64" s="144"/>
      <c r="R64" s="143" t="str">
        <f t="shared" si="21"/>
        <v>S</v>
      </c>
      <c r="S64" s="142" t="str">
        <f t="shared" si="22"/>
        <v>201987</v>
      </c>
      <c r="T64" s="374">
        <f t="shared" si="11"/>
        <v>2.1863425925925994E-2</v>
      </c>
      <c r="U64" s="372"/>
      <c r="V64" s="373"/>
      <c r="W64" s="374">
        <f t="shared" si="20"/>
        <v>1.6327371433689369E-2</v>
      </c>
      <c r="X64" s="375"/>
      <c r="Y64" s="375"/>
      <c r="Z64" s="375"/>
      <c r="AA64" s="376"/>
      <c r="AB64" s="145" t="str">
        <f t="shared" si="12"/>
        <v/>
      </c>
      <c r="AC64" s="341" t="str">
        <f t="shared" si="23"/>
        <v/>
      </c>
      <c r="AD64" s="324"/>
      <c r="AE64" s="342"/>
      <c r="AF64" s="180"/>
      <c r="AG64" s="225"/>
      <c r="AH64" s="236">
        <f t="shared" si="24"/>
        <v>0.60765957446807073</v>
      </c>
    </row>
    <row r="65" spans="1:34" ht="15" customHeight="1">
      <c r="A65" s="43">
        <v>56</v>
      </c>
      <c r="B65" s="141">
        <v>56</v>
      </c>
      <c r="C65" s="142">
        <f t="shared" si="0"/>
        <v>9</v>
      </c>
      <c r="D65" s="377" t="str">
        <f t="shared" si="15"/>
        <v>Fiona Barrett</v>
      </c>
      <c r="E65" s="378"/>
      <c r="F65" s="378"/>
      <c r="G65" s="378"/>
      <c r="H65" s="378"/>
      <c r="I65" s="378"/>
      <c r="J65" s="379"/>
      <c r="K65" s="176" t="str">
        <f t="shared" si="10"/>
        <v>Inverness Cycle Club</v>
      </c>
      <c r="L65" s="177"/>
      <c r="M65" s="177"/>
      <c r="N65" s="177"/>
      <c r="O65" s="177"/>
      <c r="P65" s="177"/>
      <c r="Q65" s="144"/>
      <c r="R65" s="143" t="str">
        <f t="shared" si="21"/>
        <v>FV</v>
      </c>
      <c r="S65" s="142" t="str">
        <f t="shared" si="22"/>
        <v>1121741</v>
      </c>
      <c r="T65" s="374">
        <f t="shared" si="11"/>
        <v>2.2048611111111116E-2</v>
      </c>
      <c r="U65" s="372"/>
      <c r="V65" s="373"/>
      <c r="W65" s="374">
        <f t="shared" si="20"/>
        <v>1.4773646512166349E-2</v>
      </c>
      <c r="X65" s="375"/>
      <c r="Y65" s="375"/>
      <c r="Z65" s="375"/>
      <c r="AA65" s="376"/>
      <c r="AB65" s="145" t="str">
        <f t="shared" si="12"/>
        <v>-</v>
      </c>
      <c r="AC65" s="341">
        <f t="shared" si="23"/>
        <v>1.1111111111111148E-3</v>
      </c>
      <c r="AD65" s="324"/>
      <c r="AE65" s="342"/>
      <c r="AF65" s="180"/>
      <c r="AG65" s="225"/>
      <c r="AH65" s="236">
        <f t="shared" si="24"/>
        <v>0.62127659574466165</v>
      </c>
    </row>
    <row r="66" spans="1:34" ht="15" customHeight="1">
      <c r="A66" s="43">
        <v>57</v>
      </c>
      <c r="B66" s="141">
        <v>57</v>
      </c>
      <c r="C66" s="142" t="str">
        <f t="shared" si="0"/>
        <v/>
      </c>
      <c r="D66" s="371" t="str">
        <f t="shared" si="15"/>
        <v/>
      </c>
      <c r="E66" s="372"/>
      <c r="F66" s="372"/>
      <c r="G66" s="372"/>
      <c r="H66" s="372"/>
      <c r="I66" s="372"/>
      <c r="J66" s="373"/>
      <c r="K66" s="176" t="str">
        <f t="shared" si="10"/>
        <v/>
      </c>
      <c r="L66" s="177"/>
      <c r="M66" s="177"/>
      <c r="N66" s="177"/>
      <c r="O66" s="177"/>
      <c r="P66" s="177"/>
      <c r="Q66" s="144"/>
      <c r="R66" s="143" t="str">
        <f t="shared" si="21"/>
        <v/>
      </c>
      <c r="S66" s="142" t="str">
        <f t="shared" si="22"/>
        <v/>
      </c>
      <c r="T66" s="374" t="str">
        <f t="shared" si="11"/>
        <v/>
      </c>
      <c r="U66" s="372"/>
      <c r="V66" s="373"/>
      <c r="W66" s="374" t="str">
        <f t="shared" si="20"/>
        <v/>
      </c>
      <c r="X66" s="375"/>
      <c r="Y66" s="375"/>
      <c r="Z66" s="375"/>
      <c r="AA66" s="376"/>
      <c r="AB66" s="145" t="str">
        <f t="shared" si="12"/>
        <v/>
      </c>
      <c r="AC66" s="341" t="str">
        <f t="shared" si="23"/>
        <v/>
      </c>
      <c r="AD66" s="324"/>
      <c r="AE66" s="342"/>
      <c r="AF66" s="180"/>
      <c r="AG66" s="225"/>
      <c r="AH66" s="236" t="str">
        <f t="shared" si="24"/>
        <v/>
      </c>
    </row>
    <row r="67" spans="1:34" ht="15" customHeight="1">
      <c r="A67" s="43">
        <v>58</v>
      </c>
      <c r="B67" s="141">
        <v>58</v>
      </c>
      <c r="C67" s="142" t="str">
        <f t="shared" si="0"/>
        <v/>
      </c>
      <c r="D67" s="371" t="str">
        <f t="shared" si="15"/>
        <v/>
      </c>
      <c r="E67" s="372"/>
      <c r="F67" s="372"/>
      <c r="G67" s="372"/>
      <c r="H67" s="372"/>
      <c r="I67" s="372"/>
      <c r="J67" s="373"/>
      <c r="K67" s="176" t="str">
        <f t="shared" si="10"/>
        <v/>
      </c>
      <c r="L67" s="177"/>
      <c r="M67" s="177"/>
      <c r="N67" s="177"/>
      <c r="O67" s="177"/>
      <c r="P67" s="177"/>
      <c r="Q67" s="144"/>
      <c r="R67" s="143" t="str">
        <f t="shared" si="21"/>
        <v/>
      </c>
      <c r="S67" s="142" t="str">
        <f t="shared" si="22"/>
        <v/>
      </c>
      <c r="T67" s="374" t="str">
        <f t="shared" si="11"/>
        <v/>
      </c>
      <c r="U67" s="372"/>
      <c r="V67" s="373"/>
      <c r="W67" s="374" t="str">
        <f t="shared" si="20"/>
        <v/>
      </c>
      <c r="X67" s="375"/>
      <c r="Y67" s="375"/>
      <c r="Z67" s="375"/>
      <c r="AA67" s="376"/>
      <c r="AB67" s="145" t="str">
        <f t="shared" si="12"/>
        <v/>
      </c>
      <c r="AC67" s="341" t="str">
        <f t="shared" si="23"/>
        <v/>
      </c>
      <c r="AD67" s="324"/>
      <c r="AE67" s="342"/>
      <c r="AF67" s="180"/>
      <c r="AG67" s="225"/>
      <c r="AH67" s="236" t="str">
        <f t="shared" si="24"/>
        <v/>
      </c>
    </row>
    <row r="68" spans="1:34" ht="15" customHeight="1">
      <c r="A68" s="43">
        <v>59</v>
      </c>
      <c r="B68" s="141">
        <v>59</v>
      </c>
      <c r="C68" s="142" t="str">
        <f t="shared" si="0"/>
        <v/>
      </c>
      <c r="D68" s="371" t="str">
        <f t="shared" si="15"/>
        <v/>
      </c>
      <c r="E68" s="372"/>
      <c r="F68" s="372"/>
      <c r="G68" s="372"/>
      <c r="H68" s="372"/>
      <c r="I68" s="372"/>
      <c r="J68" s="373"/>
      <c r="K68" s="176" t="str">
        <f t="shared" si="10"/>
        <v/>
      </c>
      <c r="L68" s="177"/>
      <c r="M68" s="177"/>
      <c r="N68" s="177"/>
      <c r="O68" s="177"/>
      <c r="P68" s="177"/>
      <c r="Q68" s="144"/>
      <c r="R68" s="143" t="str">
        <f t="shared" si="21"/>
        <v/>
      </c>
      <c r="S68" s="142" t="str">
        <f t="shared" si="22"/>
        <v/>
      </c>
      <c r="T68" s="374" t="str">
        <f t="shared" si="11"/>
        <v/>
      </c>
      <c r="U68" s="372"/>
      <c r="V68" s="373"/>
      <c r="W68" s="374" t="str">
        <f t="shared" si="20"/>
        <v/>
      </c>
      <c r="X68" s="375"/>
      <c r="Y68" s="375"/>
      <c r="Z68" s="375"/>
      <c r="AA68" s="376"/>
      <c r="AB68" s="145" t="str">
        <f t="shared" si="12"/>
        <v/>
      </c>
      <c r="AC68" s="341" t="str">
        <f t="shared" si="23"/>
        <v/>
      </c>
      <c r="AD68" s="324"/>
      <c r="AE68" s="342"/>
      <c r="AF68" s="180"/>
      <c r="AG68" s="225"/>
      <c r="AH68" s="236" t="str">
        <f t="shared" si="24"/>
        <v/>
      </c>
    </row>
    <row r="69" spans="1:34" ht="15" customHeight="1">
      <c r="A69" s="43">
        <v>60</v>
      </c>
      <c r="B69" s="141">
        <v>60</v>
      </c>
      <c r="C69" s="142" t="str">
        <f t="shared" si="0"/>
        <v/>
      </c>
      <c r="D69" s="371" t="str">
        <f t="shared" si="15"/>
        <v/>
      </c>
      <c r="E69" s="372"/>
      <c r="F69" s="372"/>
      <c r="G69" s="372"/>
      <c r="H69" s="372"/>
      <c r="I69" s="372"/>
      <c r="J69" s="373"/>
      <c r="K69" s="176" t="str">
        <f t="shared" si="10"/>
        <v/>
      </c>
      <c r="L69" s="177"/>
      <c r="M69" s="177"/>
      <c r="N69" s="177"/>
      <c r="O69" s="177"/>
      <c r="P69" s="177"/>
      <c r="Q69" s="144"/>
      <c r="R69" s="143" t="str">
        <f t="shared" si="21"/>
        <v/>
      </c>
      <c r="S69" s="142" t="str">
        <f t="shared" si="22"/>
        <v/>
      </c>
      <c r="T69" s="374" t="str">
        <f t="shared" si="11"/>
        <v/>
      </c>
      <c r="U69" s="372"/>
      <c r="V69" s="373"/>
      <c r="W69" s="374" t="str">
        <f t="shared" si="20"/>
        <v/>
      </c>
      <c r="X69" s="375"/>
      <c r="Y69" s="375"/>
      <c r="Z69" s="375"/>
      <c r="AA69" s="376"/>
      <c r="AB69" s="145" t="str">
        <f t="shared" si="12"/>
        <v/>
      </c>
      <c r="AC69" s="341" t="str">
        <f t="shared" si="23"/>
        <v/>
      </c>
      <c r="AD69" s="324"/>
      <c r="AE69" s="342"/>
      <c r="AF69" s="180"/>
      <c r="AG69" s="225"/>
      <c r="AH69" s="236" t="str">
        <f t="shared" si="24"/>
        <v/>
      </c>
    </row>
    <row r="70" spans="1:34" ht="15" customHeight="1">
      <c r="A70" s="43">
        <v>61</v>
      </c>
      <c r="B70" s="141">
        <v>61</v>
      </c>
      <c r="C70" s="142" t="str">
        <f t="shared" si="0"/>
        <v/>
      </c>
      <c r="D70" s="371" t="str">
        <f t="shared" si="15"/>
        <v/>
      </c>
      <c r="E70" s="372"/>
      <c r="F70" s="372"/>
      <c r="G70" s="372"/>
      <c r="H70" s="372"/>
      <c r="I70" s="372"/>
      <c r="J70" s="373"/>
      <c r="K70" s="176" t="str">
        <f t="shared" si="10"/>
        <v/>
      </c>
      <c r="L70" s="177"/>
      <c r="M70" s="177"/>
      <c r="N70" s="177"/>
      <c r="O70" s="177"/>
      <c r="P70" s="177"/>
      <c r="Q70" s="144"/>
      <c r="R70" s="143" t="str">
        <f t="shared" si="21"/>
        <v/>
      </c>
      <c r="S70" s="142" t="str">
        <f t="shared" si="22"/>
        <v/>
      </c>
      <c r="T70" s="374" t="str">
        <f t="shared" si="11"/>
        <v/>
      </c>
      <c r="U70" s="372"/>
      <c r="V70" s="373"/>
      <c r="W70" s="374" t="str">
        <f t="shared" si="20"/>
        <v/>
      </c>
      <c r="X70" s="375"/>
      <c r="Y70" s="375"/>
      <c r="Z70" s="375"/>
      <c r="AA70" s="376"/>
      <c r="AB70" s="145" t="str">
        <f t="shared" si="12"/>
        <v/>
      </c>
      <c r="AC70" s="341" t="str">
        <f t="shared" si="23"/>
        <v/>
      </c>
      <c r="AD70" s="324"/>
      <c r="AE70" s="342"/>
      <c r="AF70" s="180"/>
      <c r="AG70" s="225"/>
      <c r="AH70" s="236" t="str">
        <f t="shared" si="24"/>
        <v/>
      </c>
    </row>
    <row r="71" spans="1:34" ht="15" customHeight="1">
      <c r="A71" s="43">
        <v>62</v>
      </c>
      <c r="B71" s="141">
        <v>62</v>
      </c>
      <c r="C71" s="142" t="str">
        <f t="shared" si="0"/>
        <v/>
      </c>
      <c r="D71" s="371" t="str">
        <f t="shared" si="15"/>
        <v/>
      </c>
      <c r="E71" s="372"/>
      <c r="F71" s="372"/>
      <c r="G71" s="372"/>
      <c r="H71" s="372"/>
      <c r="I71" s="372"/>
      <c r="J71" s="373"/>
      <c r="K71" s="176" t="str">
        <f t="shared" si="10"/>
        <v/>
      </c>
      <c r="L71" s="177"/>
      <c r="M71" s="177"/>
      <c r="N71" s="177"/>
      <c r="O71" s="177"/>
      <c r="P71" s="177"/>
      <c r="Q71" s="144"/>
      <c r="R71" s="143" t="str">
        <f t="shared" si="21"/>
        <v/>
      </c>
      <c r="S71" s="142" t="str">
        <f t="shared" si="22"/>
        <v/>
      </c>
      <c r="T71" s="374" t="str">
        <f t="shared" si="11"/>
        <v/>
      </c>
      <c r="U71" s="372"/>
      <c r="V71" s="373"/>
      <c r="W71" s="374" t="str">
        <f t="shared" si="20"/>
        <v/>
      </c>
      <c r="X71" s="375"/>
      <c r="Y71" s="375"/>
      <c r="Z71" s="375"/>
      <c r="AA71" s="376"/>
      <c r="AB71" s="145" t="str">
        <f t="shared" si="12"/>
        <v/>
      </c>
      <c r="AC71" s="341" t="str">
        <f t="shared" si="23"/>
        <v/>
      </c>
      <c r="AD71" s="324"/>
      <c r="AE71" s="342"/>
      <c r="AF71" s="180"/>
      <c r="AG71" s="225"/>
      <c r="AH71" s="236" t="str">
        <f t="shared" si="24"/>
        <v/>
      </c>
    </row>
    <row r="72" spans="1:34" ht="15" customHeight="1">
      <c r="A72" s="43">
        <v>63</v>
      </c>
      <c r="B72" s="141">
        <v>63</v>
      </c>
      <c r="C72" s="142" t="str">
        <f t="shared" si="0"/>
        <v/>
      </c>
      <c r="D72" s="371" t="str">
        <f t="shared" si="15"/>
        <v/>
      </c>
      <c r="E72" s="372"/>
      <c r="F72" s="372"/>
      <c r="G72" s="372"/>
      <c r="H72" s="372"/>
      <c r="I72" s="372"/>
      <c r="J72" s="373"/>
      <c r="K72" s="176" t="str">
        <f t="shared" si="10"/>
        <v/>
      </c>
      <c r="L72" s="177"/>
      <c r="M72" s="177"/>
      <c r="N72" s="177"/>
      <c r="O72" s="177"/>
      <c r="P72" s="177"/>
      <c r="Q72" s="144"/>
      <c r="R72" s="143" t="str">
        <f t="shared" si="21"/>
        <v/>
      </c>
      <c r="S72" s="142" t="str">
        <f t="shared" si="22"/>
        <v/>
      </c>
      <c r="T72" s="374" t="str">
        <f t="shared" si="11"/>
        <v/>
      </c>
      <c r="U72" s="372"/>
      <c r="V72" s="373"/>
      <c r="W72" s="374" t="str">
        <f t="shared" si="20"/>
        <v/>
      </c>
      <c r="X72" s="375"/>
      <c r="Y72" s="375"/>
      <c r="Z72" s="375"/>
      <c r="AA72" s="376"/>
      <c r="AB72" s="145" t="str">
        <f t="shared" si="12"/>
        <v/>
      </c>
      <c r="AC72" s="341" t="str">
        <f t="shared" si="23"/>
        <v/>
      </c>
      <c r="AD72" s="324"/>
      <c r="AE72" s="342"/>
      <c r="AF72" s="180"/>
      <c r="AG72" s="225"/>
      <c r="AH72" s="236" t="str">
        <f t="shared" si="24"/>
        <v/>
      </c>
    </row>
    <row r="73" spans="1:34" ht="15" customHeight="1">
      <c r="A73" s="43">
        <v>64</v>
      </c>
      <c r="B73" s="141">
        <v>64</v>
      </c>
      <c r="C73" s="142" t="str">
        <f t="shared" si="0"/>
        <v/>
      </c>
      <c r="D73" s="371" t="str">
        <f t="shared" si="15"/>
        <v/>
      </c>
      <c r="E73" s="372"/>
      <c r="F73" s="372"/>
      <c r="G73" s="372"/>
      <c r="H73" s="372"/>
      <c r="I73" s="372"/>
      <c r="J73" s="373"/>
      <c r="K73" s="176" t="str">
        <f t="shared" si="10"/>
        <v/>
      </c>
      <c r="L73" s="177"/>
      <c r="M73" s="177"/>
      <c r="N73" s="177"/>
      <c r="O73" s="177"/>
      <c r="P73" s="177"/>
      <c r="Q73" s="144"/>
      <c r="R73" s="143" t="str">
        <f t="shared" si="21"/>
        <v/>
      </c>
      <c r="S73" s="142" t="str">
        <f t="shared" si="22"/>
        <v/>
      </c>
      <c r="T73" s="374" t="str">
        <f t="shared" si="11"/>
        <v/>
      </c>
      <c r="U73" s="372"/>
      <c r="V73" s="373"/>
      <c r="W73" s="374" t="str">
        <f t="shared" si="20"/>
        <v/>
      </c>
      <c r="X73" s="375"/>
      <c r="Y73" s="375"/>
      <c r="Z73" s="375"/>
      <c r="AA73" s="376"/>
      <c r="AB73" s="145" t="str">
        <f t="shared" si="12"/>
        <v/>
      </c>
      <c r="AC73" s="341" t="str">
        <f t="shared" si="23"/>
        <v/>
      </c>
      <c r="AD73" s="324"/>
      <c r="AE73" s="342"/>
      <c r="AF73" s="180"/>
      <c r="AG73" s="225"/>
      <c r="AH73" s="236" t="str">
        <f t="shared" si="24"/>
        <v/>
      </c>
    </row>
    <row r="74" spans="1:34" ht="15" customHeight="1">
      <c r="A74" s="43">
        <v>65</v>
      </c>
      <c r="B74" s="141">
        <v>65</v>
      </c>
      <c r="C74" s="142" t="str">
        <f t="shared" ref="C74:C137" si="25">IF(IF(ISNA(VLOOKUP(A74,StartList,3,FALSE)),"",VLOOKUP(A74,StartList,3,FALSE))=0,"",IF(ISNA(VLOOKUP(A74,StartList,3,FALSE)),"",VLOOKUP(A74,StartList,3,FALSE)))</f>
        <v/>
      </c>
      <c r="D74" s="371" t="str">
        <f t="shared" si="15"/>
        <v/>
      </c>
      <c r="E74" s="372"/>
      <c r="F74" s="372"/>
      <c r="G74" s="372"/>
      <c r="H74" s="372"/>
      <c r="I74" s="372"/>
      <c r="J74" s="373"/>
      <c r="K74" s="176" t="str">
        <f t="shared" si="10"/>
        <v/>
      </c>
      <c r="L74" s="177"/>
      <c r="M74" s="177"/>
      <c r="N74" s="177"/>
      <c r="O74" s="177"/>
      <c r="P74" s="177"/>
      <c r="Q74" s="144"/>
      <c r="R74" s="143" t="str">
        <f t="shared" si="21"/>
        <v/>
      </c>
      <c r="S74" s="142" t="str">
        <f t="shared" si="22"/>
        <v/>
      </c>
      <c r="T74" s="374" t="str">
        <f t="shared" si="11"/>
        <v/>
      </c>
      <c r="U74" s="372"/>
      <c r="V74" s="373"/>
      <c r="W74" s="374" t="str">
        <f t="shared" ref="W74:W105" si="26">IF(IF(ISNA(VLOOKUP(A74,StartList,13,FALSE)),"",VLOOKUP(A74,StartList,13,FALSE))=0,"",IF(ISNA(VLOOKUP(A74,StartList,13,FALSE)),"",VLOOKUP(A74,StartList,13,FALSE)))</f>
        <v/>
      </c>
      <c r="X74" s="375"/>
      <c r="Y74" s="375"/>
      <c r="Z74" s="375"/>
      <c r="AA74" s="376"/>
      <c r="AB74" s="145" t="str">
        <f t="shared" si="12"/>
        <v/>
      </c>
      <c r="AC74" s="341" t="str">
        <f t="shared" si="23"/>
        <v/>
      </c>
      <c r="AD74" s="324"/>
      <c r="AE74" s="342"/>
      <c r="AF74" s="180"/>
      <c r="AG74" s="225"/>
      <c r="AH74" s="236" t="str">
        <f t="shared" si="24"/>
        <v/>
      </c>
    </row>
    <row r="75" spans="1:34" ht="15" customHeight="1">
      <c r="A75" s="43">
        <v>66</v>
      </c>
      <c r="B75" s="141">
        <v>66</v>
      </c>
      <c r="C75" s="142" t="str">
        <f t="shared" si="25"/>
        <v/>
      </c>
      <c r="D75" s="371" t="str">
        <f t="shared" si="15"/>
        <v/>
      </c>
      <c r="E75" s="372"/>
      <c r="F75" s="372"/>
      <c r="G75" s="372"/>
      <c r="H75" s="372"/>
      <c r="I75" s="372"/>
      <c r="J75" s="373"/>
      <c r="K75" s="176" t="str">
        <f t="shared" si="10"/>
        <v/>
      </c>
      <c r="L75" s="177"/>
      <c r="M75" s="177"/>
      <c r="N75" s="177"/>
      <c r="O75" s="177"/>
      <c r="P75" s="177"/>
      <c r="Q75" s="144"/>
      <c r="R75" s="143" t="str">
        <f t="shared" si="21"/>
        <v/>
      </c>
      <c r="S75" s="142" t="str">
        <f t="shared" si="22"/>
        <v/>
      </c>
      <c r="T75" s="374" t="str">
        <f t="shared" si="11"/>
        <v/>
      </c>
      <c r="U75" s="372"/>
      <c r="V75" s="373"/>
      <c r="W75" s="374" t="str">
        <f t="shared" si="26"/>
        <v/>
      </c>
      <c r="X75" s="375"/>
      <c r="Y75" s="375"/>
      <c r="Z75" s="375"/>
      <c r="AA75" s="376"/>
      <c r="AB75" s="145" t="str">
        <f t="shared" si="12"/>
        <v/>
      </c>
      <c r="AC75" s="341" t="str">
        <f t="shared" si="23"/>
        <v/>
      </c>
      <c r="AD75" s="324"/>
      <c r="AE75" s="342"/>
      <c r="AF75" s="180"/>
      <c r="AG75" s="225"/>
      <c r="AH75" s="236" t="str">
        <f t="shared" si="24"/>
        <v/>
      </c>
    </row>
    <row r="76" spans="1:34" ht="15" customHeight="1">
      <c r="A76" s="43">
        <v>67</v>
      </c>
      <c r="B76" s="141">
        <v>67</v>
      </c>
      <c r="C76" s="142" t="str">
        <f t="shared" si="25"/>
        <v/>
      </c>
      <c r="D76" s="371" t="str">
        <f t="shared" si="15"/>
        <v/>
      </c>
      <c r="E76" s="372"/>
      <c r="F76" s="372"/>
      <c r="G76" s="372"/>
      <c r="H76" s="372"/>
      <c r="I76" s="372"/>
      <c r="J76" s="373"/>
      <c r="K76" s="176" t="str">
        <f t="shared" ref="K76:K139" si="27">IF(IF(ISNA(VLOOKUP(A76,StartList,5,FALSE)),"",VLOOKUP(A76,StartList,5,FALSE))=0,"",IF(ISNA(VLOOKUP(A76,StartList,5,FALSE)),"",VLOOKUP(A76,StartList,5,FALSE)))</f>
        <v/>
      </c>
      <c r="L76" s="177"/>
      <c r="M76" s="177"/>
      <c r="N76" s="177"/>
      <c r="O76" s="177"/>
      <c r="P76" s="177"/>
      <c r="Q76" s="144"/>
      <c r="R76" s="143" t="str">
        <f t="shared" si="21"/>
        <v/>
      </c>
      <c r="S76" s="142" t="str">
        <f t="shared" si="22"/>
        <v/>
      </c>
      <c r="T76" s="374" t="str">
        <f t="shared" ref="T76:T139" si="28">IF(IF(ISNA(VLOOKUP(A76,StartList,10,FALSE)),"",VLOOKUP(A76,StartList,10,FALSE))=0,"",IF(ISNA(VLOOKUP(A76,StartList,10,FALSE)),"",VLOOKUP(A76,StartList,10,FALSE)))</f>
        <v/>
      </c>
      <c r="U76" s="372"/>
      <c r="V76" s="373"/>
      <c r="W76" s="374" t="str">
        <f t="shared" si="26"/>
        <v/>
      </c>
      <c r="X76" s="375"/>
      <c r="Y76" s="375"/>
      <c r="Z76" s="375"/>
      <c r="AA76" s="376"/>
      <c r="AB76" s="145" t="str">
        <f t="shared" ref="AB76:AB139" si="29">IF(IF(ISNA(VLOOKUP(A76,StartList,16,FALSE)),"",VLOOKUP(A76,StartList,16,FALSE))=0,"",IF(ISNA(VLOOKUP(A76,StartList,16,FALSE)),"",VLOOKUP(A76,StartList,16,FALSE)))</f>
        <v/>
      </c>
      <c r="AC76" s="341" t="str">
        <f t="shared" si="23"/>
        <v/>
      </c>
      <c r="AD76" s="324"/>
      <c r="AE76" s="342"/>
      <c r="AF76" s="180"/>
      <c r="AG76" s="225"/>
      <c r="AH76" s="236" t="str">
        <f t="shared" si="24"/>
        <v/>
      </c>
    </row>
    <row r="77" spans="1:34" ht="15" customHeight="1">
      <c r="A77" s="43">
        <v>68</v>
      </c>
      <c r="B77" s="141">
        <v>68</v>
      </c>
      <c r="C77" s="142" t="str">
        <f t="shared" si="25"/>
        <v/>
      </c>
      <c r="D77" s="371" t="str">
        <f t="shared" si="15"/>
        <v/>
      </c>
      <c r="E77" s="372"/>
      <c r="F77" s="372"/>
      <c r="G77" s="372"/>
      <c r="H77" s="372"/>
      <c r="I77" s="372"/>
      <c r="J77" s="373"/>
      <c r="K77" s="176" t="str">
        <f t="shared" si="27"/>
        <v/>
      </c>
      <c r="L77" s="177"/>
      <c r="M77" s="177"/>
      <c r="N77" s="177"/>
      <c r="O77" s="177"/>
      <c r="P77" s="177"/>
      <c r="Q77" s="144"/>
      <c r="R77" s="143" t="str">
        <f t="shared" si="21"/>
        <v/>
      </c>
      <c r="S77" s="142" t="str">
        <f t="shared" si="22"/>
        <v/>
      </c>
      <c r="T77" s="374" t="str">
        <f t="shared" si="28"/>
        <v/>
      </c>
      <c r="U77" s="372"/>
      <c r="V77" s="373"/>
      <c r="W77" s="374" t="str">
        <f t="shared" si="26"/>
        <v/>
      </c>
      <c r="X77" s="375"/>
      <c r="Y77" s="375"/>
      <c r="Z77" s="375"/>
      <c r="AA77" s="376"/>
      <c r="AB77" s="145" t="str">
        <f t="shared" si="29"/>
        <v/>
      </c>
      <c r="AC77" s="341" t="str">
        <f t="shared" si="23"/>
        <v/>
      </c>
      <c r="AD77" s="324"/>
      <c r="AE77" s="342"/>
      <c r="AF77" s="180"/>
      <c r="AG77" s="225"/>
      <c r="AH77" s="236" t="str">
        <f t="shared" si="24"/>
        <v/>
      </c>
    </row>
    <row r="78" spans="1:34" ht="15" customHeight="1">
      <c r="A78" s="43">
        <v>69</v>
      </c>
      <c r="B78" s="141">
        <v>69</v>
      </c>
      <c r="C78" s="142" t="str">
        <f t="shared" si="25"/>
        <v/>
      </c>
      <c r="D78" s="371" t="str">
        <f t="shared" si="15"/>
        <v/>
      </c>
      <c r="E78" s="372"/>
      <c r="F78" s="372"/>
      <c r="G78" s="372"/>
      <c r="H78" s="372"/>
      <c r="I78" s="372"/>
      <c r="J78" s="373"/>
      <c r="K78" s="176" t="str">
        <f t="shared" si="27"/>
        <v/>
      </c>
      <c r="L78" s="177"/>
      <c r="M78" s="177"/>
      <c r="N78" s="177"/>
      <c r="O78" s="177"/>
      <c r="P78" s="177"/>
      <c r="Q78" s="144"/>
      <c r="R78" s="143" t="str">
        <f t="shared" si="21"/>
        <v/>
      </c>
      <c r="S78" s="142" t="str">
        <f t="shared" si="22"/>
        <v/>
      </c>
      <c r="T78" s="374" t="str">
        <f t="shared" si="28"/>
        <v/>
      </c>
      <c r="U78" s="372"/>
      <c r="V78" s="373"/>
      <c r="W78" s="374" t="str">
        <f t="shared" si="26"/>
        <v/>
      </c>
      <c r="X78" s="375"/>
      <c r="Y78" s="375"/>
      <c r="Z78" s="375"/>
      <c r="AA78" s="376"/>
      <c r="AB78" s="145" t="str">
        <f t="shared" si="29"/>
        <v/>
      </c>
      <c r="AC78" s="341" t="str">
        <f t="shared" si="23"/>
        <v/>
      </c>
      <c r="AD78" s="324"/>
      <c r="AE78" s="342"/>
      <c r="AF78" s="180"/>
      <c r="AG78" s="225"/>
      <c r="AH78" s="236" t="str">
        <f t="shared" si="24"/>
        <v/>
      </c>
    </row>
    <row r="79" spans="1:34" ht="15" customHeight="1">
      <c r="A79" s="43">
        <v>70</v>
      </c>
      <c r="B79" s="141">
        <v>70</v>
      </c>
      <c r="C79" s="142" t="str">
        <f t="shared" si="25"/>
        <v/>
      </c>
      <c r="D79" s="371" t="str">
        <f t="shared" si="15"/>
        <v/>
      </c>
      <c r="E79" s="372"/>
      <c r="F79" s="372"/>
      <c r="G79" s="372"/>
      <c r="H79" s="372"/>
      <c r="I79" s="372"/>
      <c r="J79" s="373"/>
      <c r="K79" s="176" t="str">
        <f t="shared" si="27"/>
        <v/>
      </c>
      <c r="L79" s="177"/>
      <c r="M79" s="177"/>
      <c r="N79" s="177"/>
      <c r="O79" s="177"/>
      <c r="P79" s="177"/>
      <c r="Q79" s="144"/>
      <c r="R79" s="143" t="str">
        <f t="shared" si="21"/>
        <v/>
      </c>
      <c r="S79" s="142" t="str">
        <f t="shared" si="22"/>
        <v/>
      </c>
      <c r="T79" s="374" t="str">
        <f t="shared" si="28"/>
        <v/>
      </c>
      <c r="U79" s="372"/>
      <c r="V79" s="373"/>
      <c r="W79" s="374" t="str">
        <f t="shared" si="26"/>
        <v/>
      </c>
      <c r="X79" s="375"/>
      <c r="Y79" s="375"/>
      <c r="Z79" s="375"/>
      <c r="AA79" s="376"/>
      <c r="AB79" s="145" t="str">
        <f t="shared" si="29"/>
        <v/>
      </c>
      <c r="AC79" s="341" t="str">
        <f t="shared" si="23"/>
        <v/>
      </c>
      <c r="AD79" s="324"/>
      <c r="AE79" s="342"/>
      <c r="AF79" s="180"/>
      <c r="AG79" s="225"/>
      <c r="AH79" s="236" t="str">
        <f t="shared" si="24"/>
        <v/>
      </c>
    </row>
    <row r="80" spans="1:34" ht="15" customHeight="1">
      <c r="A80" s="43">
        <v>71</v>
      </c>
      <c r="B80" s="141">
        <v>71</v>
      </c>
      <c r="C80" s="142" t="str">
        <f t="shared" si="25"/>
        <v/>
      </c>
      <c r="D80" s="371" t="str">
        <f t="shared" si="15"/>
        <v/>
      </c>
      <c r="E80" s="372"/>
      <c r="F80" s="372"/>
      <c r="G80" s="372"/>
      <c r="H80" s="372"/>
      <c r="I80" s="372"/>
      <c r="J80" s="373"/>
      <c r="K80" s="176" t="str">
        <f t="shared" si="27"/>
        <v/>
      </c>
      <c r="L80" s="177"/>
      <c r="M80" s="177"/>
      <c r="N80" s="177"/>
      <c r="O80" s="177"/>
      <c r="P80" s="177"/>
      <c r="Q80" s="144"/>
      <c r="R80" s="143" t="str">
        <f t="shared" si="21"/>
        <v/>
      </c>
      <c r="S80" s="142" t="str">
        <f t="shared" si="22"/>
        <v/>
      </c>
      <c r="T80" s="374" t="str">
        <f t="shared" si="28"/>
        <v/>
      </c>
      <c r="U80" s="372"/>
      <c r="V80" s="373"/>
      <c r="W80" s="374" t="str">
        <f t="shared" si="26"/>
        <v/>
      </c>
      <c r="X80" s="375"/>
      <c r="Y80" s="375"/>
      <c r="Z80" s="375"/>
      <c r="AA80" s="376"/>
      <c r="AB80" s="145" t="str">
        <f t="shared" si="29"/>
        <v/>
      </c>
      <c r="AC80" s="341" t="str">
        <f t="shared" si="23"/>
        <v/>
      </c>
      <c r="AD80" s="324"/>
      <c r="AE80" s="342"/>
      <c r="AF80" s="180"/>
      <c r="AG80" s="225"/>
      <c r="AH80" s="236" t="str">
        <f t="shared" si="24"/>
        <v/>
      </c>
    </row>
    <row r="81" spans="1:34" ht="15" customHeight="1">
      <c r="A81" s="43">
        <v>72</v>
      </c>
      <c r="B81" s="141">
        <v>72</v>
      </c>
      <c r="C81" s="142" t="str">
        <f t="shared" si="25"/>
        <v/>
      </c>
      <c r="D81" s="371" t="str">
        <f t="shared" si="15"/>
        <v/>
      </c>
      <c r="E81" s="372"/>
      <c r="F81" s="372"/>
      <c r="G81" s="372"/>
      <c r="H81" s="372"/>
      <c r="I81" s="372"/>
      <c r="J81" s="373"/>
      <c r="K81" s="176" t="str">
        <f t="shared" si="27"/>
        <v/>
      </c>
      <c r="L81" s="177"/>
      <c r="M81" s="177"/>
      <c r="N81" s="177"/>
      <c r="O81" s="177"/>
      <c r="P81" s="177"/>
      <c r="Q81" s="144"/>
      <c r="R81" s="143" t="str">
        <f t="shared" si="21"/>
        <v/>
      </c>
      <c r="S81" s="142" t="str">
        <f t="shared" si="22"/>
        <v/>
      </c>
      <c r="T81" s="374" t="str">
        <f t="shared" si="28"/>
        <v/>
      </c>
      <c r="U81" s="372"/>
      <c r="V81" s="373"/>
      <c r="W81" s="374" t="str">
        <f t="shared" si="26"/>
        <v/>
      </c>
      <c r="X81" s="375"/>
      <c r="Y81" s="375"/>
      <c r="Z81" s="375"/>
      <c r="AA81" s="376"/>
      <c r="AB81" s="145" t="str">
        <f t="shared" si="29"/>
        <v/>
      </c>
      <c r="AC81" s="341" t="str">
        <f t="shared" si="23"/>
        <v/>
      </c>
      <c r="AD81" s="324"/>
      <c r="AE81" s="342"/>
      <c r="AF81" s="180"/>
      <c r="AG81" s="225"/>
      <c r="AH81" s="236" t="str">
        <f t="shared" si="24"/>
        <v/>
      </c>
    </row>
    <row r="82" spans="1:34" ht="15" customHeight="1">
      <c r="A82" s="43">
        <v>73</v>
      </c>
      <c r="B82" s="141">
        <v>73</v>
      </c>
      <c r="C82" s="142" t="str">
        <f t="shared" si="25"/>
        <v/>
      </c>
      <c r="D82" s="371" t="str">
        <f t="shared" si="15"/>
        <v/>
      </c>
      <c r="E82" s="372"/>
      <c r="F82" s="372"/>
      <c r="G82" s="372"/>
      <c r="H82" s="372"/>
      <c r="I82" s="372"/>
      <c r="J82" s="373"/>
      <c r="K82" s="176" t="str">
        <f t="shared" si="27"/>
        <v/>
      </c>
      <c r="L82" s="177"/>
      <c r="M82" s="177"/>
      <c r="N82" s="177"/>
      <c r="O82" s="177"/>
      <c r="P82" s="177"/>
      <c r="Q82" s="144"/>
      <c r="R82" s="143" t="str">
        <f t="shared" si="21"/>
        <v/>
      </c>
      <c r="S82" s="142" t="str">
        <f t="shared" si="22"/>
        <v/>
      </c>
      <c r="T82" s="374" t="str">
        <f t="shared" si="28"/>
        <v/>
      </c>
      <c r="U82" s="372"/>
      <c r="V82" s="373"/>
      <c r="W82" s="374" t="str">
        <f t="shared" si="26"/>
        <v/>
      </c>
      <c r="X82" s="375"/>
      <c r="Y82" s="375"/>
      <c r="Z82" s="375"/>
      <c r="AA82" s="376"/>
      <c r="AB82" s="145" t="str">
        <f t="shared" si="29"/>
        <v/>
      </c>
      <c r="AC82" s="341" t="str">
        <f t="shared" si="23"/>
        <v/>
      </c>
      <c r="AD82" s="324"/>
      <c r="AE82" s="342"/>
      <c r="AF82" s="180"/>
      <c r="AG82" s="225"/>
      <c r="AH82" s="236" t="str">
        <f t="shared" si="24"/>
        <v/>
      </c>
    </row>
    <row r="83" spans="1:34" ht="15" customHeight="1">
      <c r="A83" s="43">
        <v>74</v>
      </c>
      <c r="B83" s="141">
        <v>74</v>
      </c>
      <c r="C83" s="142" t="str">
        <f t="shared" si="25"/>
        <v/>
      </c>
      <c r="D83" s="371" t="str">
        <f t="shared" si="15"/>
        <v/>
      </c>
      <c r="E83" s="372"/>
      <c r="F83" s="372"/>
      <c r="G83" s="372"/>
      <c r="H83" s="372"/>
      <c r="I83" s="372"/>
      <c r="J83" s="373"/>
      <c r="K83" s="176" t="str">
        <f t="shared" si="27"/>
        <v/>
      </c>
      <c r="L83" s="177"/>
      <c r="M83" s="177"/>
      <c r="N83" s="177"/>
      <c r="O83" s="177"/>
      <c r="P83" s="177"/>
      <c r="Q83" s="144"/>
      <c r="R83" s="143" t="str">
        <f t="shared" si="21"/>
        <v/>
      </c>
      <c r="S83" s="142" t="str">
        <f t="shared" si="22"/>
        <v/>
      </c>
      <c r="T83" s="374" t="str">
        <f t="shared" si="28"/>
        <v/>
      </c>
      <c r="U83" s="372"/>
      <c r="V83" s="373"/>
      <c r="W83" s="374" t="str">
        <f t="shared" si="26"/>
        <v/>
      </c>
      <c r="X83" s="375"/>
      <c r="Y83" s="375"/>
      <c r="Z83" s="375"/>
      <c r="AA83" s="376"/>
      <c r="AB83" s="145" t="str">
        <f t="shared" si="29"/>
        <v/>
      </c>
      <c r="AC83" s="341" t="str">
        <f t="shared" si="23"/>
        <v/>
      </c>
      <c r="AD83" s="324"/>
      <c r="AE83" s="342"/>
      <c r="AF83" s="180"/>
      <c r="AG83" s="225"/>
      <c r="AH83" s="236" t="str">
        <f t="shared" si="24"/>
        <v/>
      </c>
    </row>
    <row r="84" spans="1:34" ht="15" customHeight="1">
      <c r="A84" s="43">
        <v>75</v>
      </c>
      <c r="B84" s="141">
        <v>75</v>
      </c>
      <c r="C84" s="142" t="str">
        <f t="shared" si="25"/>
        <v/>
      </c>
      <c r="D84" s="371" t="str">
        <f t="shared" si="15"/>
        <v/>
      </c>
      <c r="E84" s="372"/>
      <c r="F84" s="372"/>
      <c r="G84" s="372"/>
      <c r="H84" s="372"/>
      <c r="I84" s="372"/>
      <c r="J84" s="373"/>
      <c r="K84" s="176" t="str">
        <f t="shared" si="27"/>
        <v/>
      </c>
      <c r="L84" s="177"/>
      <c r="M84" s="177"/>
      <c r="N84" s="177"/>
      <c r="O84" s="177"/>
      <c r="P84" s="177"/>
      <c r="Q84" s="144"/>
      <c r="R84" s="143" t="str">
        <f t="shared" si="21"/>
        <v/>
      </c>
      <c r="S84" s="142" t="str">
        <f t="shared" si="22"/>
        <v/>
      </c>
      <c r="T84" s="374" t="str">
        <f t="shared" si="28"/>
        <v/>
      </c>
      <c r="U84" s="372"/>
      <c r="V84" s="373"/>
      <c r="W84" s="374" t="str">
        <f t="shared" si="26"/>
        <v/>
      </c>
      <c r="X84" s="375"/>
      <c r="Y84" s="375"/>
      <c r="Z84" s="375"/>
      <c r="AA84" s="376"/>
      <c r="AB84" s="145" t="str">
        <f t="shared" si="29"/>
        <v/>
      </c>
      <c r="AC84" s="341" t="str">
        <f t="shared" si="23"/>
        <v/>
      </c>
      <c r="AD84" s="324"/>
      <c r="AE84" s="342"/>
      <c r="AF84" s="180"/>
      <c r="AG84" s="225"/>
      <c r="AH84" s="236" t="str">
        <f t="shared" si="24"/>
        <v/>
      </c>
    </row>
    <row r="85" spans="1:34" ht="15" customHeight="1">
      <c r="A85" s="43">
        <v>76</v>
      </c>
      <c r="B85" s="141">
        <v>76</v>
      </c>
      <c r="C85" s="142" t="str">
        <f t="shared" si="25"/>
        <v/>
      </c>
      <c r="D85" s="371" t="str">
        <f t="shared" si="15"/>
        <v/>
      </c>
      <c r="E85" s="372"/>
      <c r="F85" s="372"/>
      <c r="G85" s="372"/>
      <c r="H85" s="372"/>
      <c r="I85" s="372"/>
      <c r="J85" s="373"/>
      <c r="K85" s="176" t="str">
        <f t="shared" si="27"/>
        <v/>
      </c>
      <c r="L85" s="177"/>
      <c r="M85" s="177"/>
      <c r="N85" s="177"/>
      <c r="O85" s="177"/>
      <c r="P85" s="177"/>
      <c r="Q85" s="144"/>
      <c r="R85" s="143" t="str">
        <f t="shared" si="21"/>
        <v/>
      </c>
      <c r="S85" s="142" t="str">
        <f t="shared" si="22"/>
        <v/>
      </c>
      <c r="T85" s="374" t="str">
        <f t="shared" si="28"/>
        <v/>
      </c>
      <c r="U85" s="372"/>
      <c r="V85" s="373"/>
      <c r="W85" s="374" t="str">
        <f t="shared" si="26"/>
        <v/>
      </c>
      <c r="X85" s="375"/>
      <c r="Y85" s="375"/>
      <c r="Z85" s="375"/>
      <c r="AA85" s="376"/>
      <c r="AB85" s="145" t="str">
        <f t="shared" si="29"/>
        <v/>
      </c>
      <c r="AC85" s="341" t="str">
        <f t="shared" si="23"/>
        <v/>
      </c>
      <c r="AD85" s="324"/>
      <c r="AE85" s="342"/>
      <c r="AF85" s="180"/>
      <c r="AG85" s="225"/>
      <c r="AH85" s="236" t="str">
        <f t="shared" si="24"/>
        <v/>
      </c>
    </row>
    <row r="86" spans="1:34" ht="15" customHeight="1">
      <c r="A86" s="43">
        <v>77</v>
      </c>
      <c r="B86" s="141">
        <v>77</v>
      </c>
      <c r="C86" s="142" t="str">
        <f t="shared" si="25"/>
        <v/>
      </c>
      <c r="D86" s="371" t="str">
        <f t="shared" si="15"/>
        <v/>
      </c>
      <c r="E86" s="372"/>
      <c r="F86" s="372"/>
      <c r="G86" s="372"/>
      <c r="H86" s="372"/>
      <c r="I86" s="372"/>
      <c r="J86" s="373"/>
      <c r="K86" s="176" t="str">
        <f t="shared" si="27"/>
        <v/>
      </c>
      <c r="L86" s="177"/>
      <c r="M86" s="177"/>
      <c r="N86" s="177"/>
      <c r="O86" s="177"/>
      <c r="P86" s="177"/>
      <c r="Q86" s="144"/>
      <c r="R86" s="143" t="str">
        <f t="shared" si="21"/>
        <v/>
      </c>
      <c r="S86" s="142" t="str">
        <f t="shared" si="22"/>
        <v/>
      </c>
      <c r="T86" s="374" t="str">
        <f t="shared" si="28"/>
        <v/>
      </c>
      <c r="U86" s="372"/>
      <c r="V86" s="373"/>
      <c r="W86" s="374" t="str">
        <f t="shared" si="26"/>
        <v/>
      </c>
      <c r="X86" s="375"/>
      <c r="Y86" s="375"/>
      <c r="Z86" s="375"/>
      <c r="AA86" s="376"/>
      <c r="AB86" s="145" t="str">
        <f t="shared" si="29"/>
        <v/>
      </c>
      <c r="AC86" s="341" t="str">
        <f t="shared" si="23"/>
        <v/>
      </c>
      <c r="AD86" s="324"/>
      <c r="AE86" s="342"/>
      <c r="AF86" s="180"/>
      <c r="AG86" s="225"/>
      <c r="AH86" s="236" t="str">
        <f t="shared" si="24"/>
        <v/>
      </c>
    </row>
    <row r="87" spans="1:34" ht="15" customHeight="1">
      <c r="A87" s="43">
        <v>78</v>
      </c>
      <c r="B87" s="141">
        <v>78</v>
      </c>
      <c r="C87" s="142" t="str">
        <f t="shared" si="25"/>
        <v/>
      </c>
      <c r="D87" s="371" t="str">
        <f t="shared" ref="D87:D150" si="30">IF(IF(ISNA(VLOOKUP(A87,StartList,4,FALSE)),"",VLOOKUP(A87,StartList,4,FALSE))=0,"",IF(ISNA(VLOOKUP(A87,StartList,4,FALSE)),"",VLOOKUP(A87,StartList,4,FALSE)))</f>
        <v/>
      </c>
      <c r="E87" s="372"/>
      <c r="F87" s="372"/>
      <c r="G87" s="372"/>
      <c r="H87" s="372"/>
      <c r="I87" s="372"/>
      <c r="J87" s="373"/>
      <c r="K87" s="176" t="str">
        <f t="shared" si="27"/>
        <v/>
      </c>
      <c r="L87" s="177"/>
      <c r="M87" s="177"/>
      <c r="N87" s="177"/>
      <c r="O87" s="177"/>
      <c r="P87" s="177"/>
      <c r="Q87" s="144"/>
      <c r="R87" s="143" t="str">
        <f t="shared" si="21"/>
        <v/>
      </c>
      <c r="S87" s="142" t="str">
        <f t="shared" si="22"/>
        <v/>
      </c>
      <c r="T87" s="374" t="str">
        <f t="shared" si="28"/>
        <v/>
      </c>
      <c r="U87" s="372"/>
      <c r="V87" s="373"/>
      <c r="W87" s="374" t="str">
        <f t="shared" si="26"/>
        <v/>
      </c>
      <c r="X87" s="375"/>
      <c r="Y87" s="375"/>
      <c r="Z87" s="375"/>
      <c r="AA87" s="376"/>
      <c r="AB87" s="145" t="str">
        <f t="shared" si="29"/>
        <v/>
      </c>
      <c r="AC87" s="341" t="str">
        <f t="shared" si="23"/>
        <v/>
      </c>
      <c r="AD87" s="324"/>
      <c r="AE87" s="342"/>
      <c r="AF87" s="180"/>
      <c r="AG87" s="225"/>
      <c r="AH87" s="236" t="str">
        <f t="shared" si="24"/>
        <v/>
      </c>
    </row>
    <row r="88" spans="1:34" ht="15" customHeight="1">
      <c r="A88" s="43">
        <v>79</v>
      </c>
      <c r="B88" s="141">
        <v>79</v>
      </c>
      <c r="C88" s="142" t="str">
        <f t="shared" si="25"/>
        <v/>
      </c>
      <c r="D88" s="371" t="str">
        <f t="shared" si="30"/>
        <v/>
      </c>
      <c r="E88" s="372"/>
      <c r="F88" s="372"/>
      <c r="G88" s="372"/>
      <c r="H88" s="372"/>
      <c r="I88" s="372"/>
      <c r="J88" s="373"/>
      <c r="K88" s="176" t="str">
        <f t="shared" si="27"/>
        <v/>
      </c>
      <c r="L88" s="177"/>
      <c r="M88" s="177"/>
      <c r="N88" s="177"/>
      <c r="O88" s="177"/>
      <c r="P88" s="177"/>
      <c r="Q88" s="144"/>
      <c r="R88" s="143" t="str">
        <f t="shared" si="21"/>
        <v/>
      </c>
      <c r="S88" s="142" t="str">
        <f t="shared" si="22"/>
        <v/>
      </c>
      <c r="T88" s="374" t="str">
        <f t="shared" si="28"/>
        <v/>
      </c>
      <c r="U88" s="372"/>
      <c r="V88" s="373"/>
      <c r="W88" s="374" t="str">
        <f t="shared" si="26"/>
        <v/>
      </c>
      <c r="X88" s="375"/>
      <c r="Y88" s="375"/>
      <c r="Z88" s="375"/>
      <c r="AA88" s="376"/>
      <c r="AB88" s="145" t="str">
        <f t="shared" si="29"/>
        <v/>
      </c>
      <c r="AC88" s="341" t="str">
        <f t="shared" si="23"/>
        <v/>
      </c>
      <c r="AD88" s="324"/>
      <c r="AE88" s="342"/>
      <c r="AF88" s="180"/>
      <c r="AG88" s="225"/>
      <c r="AH88" s="236" t="str">
        <f t="shared" si="24"/>
        <v/>
      </c>
    </row>
    <row r="89" spans="1:34" ht="15" customHeight="1">
      <c r="A89" s="43">
        <v>80</v>
      </c>
      <c r="B89" s="141">
        <v>80</v>
      </c>
      <c r="C89" s="142" t="str">
        <f t="shared" si="25"/>
        <v/>
      </c>
      <c r="D89" s="371" t="str">
        <f t="shared" si="30"/>
        <v/>
      </c>
      <c r="E89" s="372"/>
      <c r="F89" s="372"/>
      <c r="G89" s="372"/>
      <c r="H89" s="372"/>
      <c r="I89" s="372"/>
      <c r="J89" s="373"/>
      <c r="K89" s="176" t="str">
        <f t="shared" si="27"/>
        <v/>
      </c>
      <c r="L89" s="177"/>
      <c r="M89" s="177"/>
      <c r="N89" s="177"/>
      <c r="O89" s="177"/>
      <c r="P89" s="177"/>
      <c r="Q89" s="144"/>
      <c r="R89" s="143" t="str">
        <f t="shared" si="21"/>
        <v/>
      </c>
      <c r="S89" s="142" t="str">
        <f t="shared" si="22"/>
        <v/>
      </c>
      <c r="T89" s="374" t="str">
        <f t="shared" si="28"/>
        <v/>
      </c>
      <c r="U89" s="372"/>
      <c r="V89" s="373"/>
      <c r="W89" s="374" t="str">
        <f t="shared" si="26"/>
        <v/>
      </c>
      <c r="X89" s="375"/>
      <c r="Y89" s="375"/>
      <c r="Z89" s="375"/>
      <c r="AA89" s="376"/>
      <c r="AB89" s="145" t="str">
        <f t="shared" si="29"/>
        <v/>
      </c>
      <c r="AC89" s="341" t="str">
        <f t="shared" si="23"/>
        <v/>
      </c>
      <c r="AD89" s="324"/>
      <c r="AE89" s="342"/>
      <c r="AF89" s="180"/>
      <c r="AG89" s="225"/>
      <c r="AH89" s="236" t="str">
        <f t="shared" si="24"/>
        <v/>
      </c>
    </row>
    <row r="90" spans="1:34" ht="15" customHeight="1">
      <c r="A90" s="43">
        <v>81</v>
      </c>
      <c r="B90" s="141">
        <v>81</v>
      </c>
      <c r="C90" s="142" t="str">
        <f t="shared" si="25"/>
        <v/>
      </c>
      <c r="D90" s="371" t="str">
        <f t="shared" si="30"/>
        <v/>
      </c>
      <c r="E90" s="372"/>
      <c r="F90" s="372"/>
      <c r="G90" s="372"/>
      <c r="H90" s="372"/>
      <c r="I90" s="372"/>
      <c r="J90" s="373"/>
      <c r="K90" s="176" t="str">
        <f t="shared" si="27"/>
        <v/>
      </c>
      <c r="L90" s="177"/>
      <c r="M90" s="177"/>
      <c r="N90" s="177"/>
      <c r="O90" s="177"/>
      <c r="P90" s="177"/>
      <c r="Q90" s="144"/>
      <c r="R90" s="143" t="str">
        <f t="shared" si="21"/>
        <v/>
      </c>
      <c r="S90" s="142" t="str">
        <f t="shared" si="22"/>
        <v/>
      </c>
      <c r="T90" s="374" t="str">
        <f t="shared" si="28"/>
        <v/>
      </c>
      <c r="U90" s="372"/>
      <c r="V90" s="373"/>
      <c r="W90" s="374" t="str">
        <f t="shared" si="26"/>
        <v/>
      </c>
      <c r="X90" s="375"/>
      <c r="Y90" s="375"/>
      <c r="Z90" s="375"/>
      <c r="AA90" s="376"/>
      <c r="AB90" s="145" t="str">
        <f t="shared" si="29"/>
        <v/>
      </c>
      <c r="AC90" s="341" t="str">
        <f t="shared" si="23"/>
        <v/>
      </c>
      <c r="AD90" s="324"/>
      <c r="AE90" s="342"/>
      <c r="AF90" s="180"/>
      <c r="AG90" s="225"/>
      <c r="AH90" s="236" t="str">
        <f t="shared" si="24"/>
        <v/>
      </c>
    </row>
    <row r="91" spans="1:34" ht="15" customHeight="1">
      <c r="A91" s="43">
        <v>82</v>
      </c>
      <c r="B91" s="141">
        <v>82</v>
      </c>
      <c r="C91" s="142" t="str">
        <f t="shared" si="25"/>
        <v/>
      </c>
      <c r="D91" s="371" t="str">
        <f t="shared" si="30"/>
        <v/>
      </c>
      <c r="E91" s="372"/>
      <c r="F91" s="372"/>
      <c r="G91" s="372"/>
      <c r="H91" s="372"/>
      <c r="I91" s="372"/>
      <c r="J91" s="373"/>
      <c r="K91" s="176" t="str">
        <f t="shared" si="27"/>
        <v/>
      </c>
      <c r="L91" s="177"/>
      <c r="M91" s="177"/>
      <c r="N91" s="177"/>
      <c r="O91" s="177"/>
      <c r="P91" s="177"/>
      <c r="Q91" s="144"/>
      <c r="R91" s="143" t="str">
        <f t="shared" si="21"/>
        <v/>
      </c>
      <c r="S91" s="142" t="str">
        <f t="shared" si="22"/>
        <v/>
      </c>
      <c r="T91" s="374" t="str">
        <f t="shared" si="28"/>
        <v/>
      </c>
      <c r="U91" s="372"/>
      <c r="V91" s="373"/>
      <c r="W91" s="374" t="str">
        <f t="shared" si="26"/>
        <v/>
      </c>
      <c r="X91" s="375"/>
      <c r="Y91" s="375"/>
      <c r="Z91" s="375"/>
      <c r="AA91" s="376"/>
      <c r="AB91" s="145" t="str">
        <f t="shared" si="29"/>
        <v/>
      </c>
      <c r="AC91" s="341" t="str">
        <f t="shared" si="23"/>
        <v/>
      </c>
      <c r="AD91" s="324"/>
      <c r="AE91" s="342"/>
      <c r="AF91" s="180"/>
      <c r="AG91" s="225"/>
      <c r="AH91" s="236" t="str">
        <f t="shared" si="24"/>
        <v/>
      </c>
    </row>
    <row r="92" spans="1:34" ht="15" customHeight="1">
      <c r="A92" s="43">
        <v>83</v>
      </c>
      <c r="B92" s="141">
        <v>83</v>
      </c>
      <c r="C92" s="142" t="str">
        <f t="shared" si="25"/>
        <v/>
      </c>
      <c r="D92" s="371" t="str">
        <f t="shared" si="30"/>
        <v/>
      </c>
      <c r="E92" s="372"/>
      <c r="F92" s="372"/>
      <c r="G92" s="372"/>
      <c r="H92" s="372"/>
      <c r="I92" s="372"/>
      <c r="J92" s="373"/>
      <c r="K92" s="176" t="str">
        <f t="shared" si="27"/>
        <v/>
      </c>
      <c r="L92" s="177"/>
      <c r="M92" s="177"/>
      <c r="N92" s="177"/>
      <c r="O92" s="177"/>
      <c r="P92" s="177"/>
      <c r="Q92" s="144"/>
      <c r="R92" s="143" t="str">
        <f t="shared" si="21"/>
        <v/>
      </c>
      <c r="S92" s="142" t="str">
        <f t="shared" si="22"/>
        <v/>
      </c>
      <c r="T92" s="374" t="str">
        <f t="shared" si="28"/>
        <v/>
      </c>
      <c r="U92" s="372"/>
      <c r="V92" s="373"/>
      <c r="W92" s="374" t="str">
        <f t="shared" si="26"/>
        <v/>
      </c>
      <c r="X92" s="375"/>
      <c r="Y92" s="375"/>
      <c r="Z92" s="375"/>
      <c r="AA92" s="376"/>
      <c r="AB92" s="145" t="str">
        <f t="shared" si="29"/>
        <v/>
      </c>
      <c r="AC92" s="341" t="str">
        <f t="shared" si="23"/>
        <v/>
      </c>
      <c r="AD92" s="324"/>
      <c r="AE92" s="342"/>
      <c r="AF92" s="180"/>
      <c r="AG92" s="225"/>
      <c r="AH92" s="236" t="str">
        <f t="shared" si="24"/>
        <v/>
      </c>
    </row>
    <row r="93" spans="1:34" ht="15" customHeight="1">
      <c r="A93" s="43">
        <v>84</v>
      </c>
      <c r="B93" s="141">
        <v>84</v>
      </c>
      <c r="C93" s="142" t="str">
        <f t="shared" si="25"/>
        <v/>
      </c>
      <c r="D93" s="371" t="str">
        <f t="shared" si="30"/>
        <v/>
      </c>
      <c r="E93" s="372"/>
      <c r="F93" s="372"/>
      <c r="G93" s="372"/>
      <c r="H93" s="372"/>
      <c r="I93" s="372"/>
      <c r="J93" s="373"/>
      <c r="K93" s="176" t="str">
        <f t="shared" si="27"/>
        <v/>
      </c>
      <c r="L93" s="177"/>
      <c r="M93" s="177"/>
      <c r="N93" s="177"/>
      <c r="O93" s="177"/>
      <c r="P93" s="177"/>
      <c r="Q93" s="144"/>
      <c r="R93" s="143" t="str">
        <f t="shared" si="21"/>
        <v/>
      </c>
      <c r="S93" s="142" t="str">
        <f t="shared" si="22"/>
        <v/>
      </c>
      <c r="T93" s="374" t="str">
        <f t="shared" si="28"/>
        <v/>
      </c>
      <c r="U93" s="372"/>
      <c r="V93" s="373"/>
      <c r="W93" s="374" t="str">
        <f t="shared" si="26"/>
        <v/>
      </c>
      <c r="X93" s="375"/>
      <c r="Y93" s="375"/>
      <c r="Z93" s="375"/>
      <c r="AA93" s="376"/>
      <c r="AB93" s="145" t="str">
        <f t="shared" si="29"/>
        <v/>
      </c>
      <c r="AC93" s="341" t="str">
        <f t="shared" si="23"/>
        <v/>
      </c>
      <c r="AD93" s="324"/>
      <c r="AE93" s="342"/>
      <c r="AF93" s="180"/>
      <c r="AG93" s="225"/>
      <c r="AH93" s="236" t="str">
        <f t="shared" si="24"/>
        <v/>
      </c>
    </row>
    <row r="94" spans="1:34" ht="15" customHeight="1">
      <c r="A94" s="43">
        <v>85</v>
      </c>
      <c r="B94" s="141">
        <v>85</v>
      </c>
      <c r="C94" s="142" t="str">
        <f t="shared" si="25"/>
        <v/>
      </c>
      <c r="D94" s="371" t="str">
        <f t="shared" si="30"/>
        <v/>
      </c>
      <c r="E94" s="372"/>
      <c r="F94" s="372"/>
      <c r="G94" s="372"/>
      <c r="H94" s="372"/>
      <c r="I94" s="372"/>
      <c r="J94" s="373"/>
      <c r="K94" s="176" t="str">
        <f t="shared" si="27"/>
        <v/>
      </c>
      <c r="L94" s="177"/>
      <c r="M94" s="177"/>
      <c r="N94" s="177"/>
      <c r="O94" s="177"/>
      <c r="P94" s="177"/>
      <c r="Q94" s="144"/>
      <c r="R94" s="143" t="str">
        <f t="shared" si="21"/>
        <v/>
      </c>
      <c r="S94" s="142" t="str">
        <f t="shared" si="22"/>
        <v/>
      </c>
      <c r="T94" s="374" t="str">
        <f t="shared" si="28"/>
        <v/>
      </c>
      <c r="U94" s="372"/>
      <c r="V94" s="373"/>
      <c r="W94" s="374" t="str">
        <f t="shared" si="26"/>
        <v/>
      </c>
      <c r="X94" s="375"/>
      <c r="Y94" s="375"/>
      <c r="Z94" s="375"/>
      <c r="AA94" s="376"/>
      <c r="AB94" s="145" t="str">
        <f t="shared" si="29"/>
        <v/>
      </c>
      <c r="AC94" s="341" t="str">
        <f t="shared" si="23"/>
        <v/>
      </c>
      <c r="AD94" s="324"/>
      <c r="AE94" s="342"/>
      <c r="AF94" s="180"/>
      <c r="AG94" s="225"/>
      <c r="AH94" s="236" t="str">
        <f t="shared" si="24"/>
        <v/>
      </c>
    </row>
    <row r="95" spans="1:34" ht="15" customHeight="1">
      <c r="A95" s="43">
        <v>86</v>
      </c>
      <c r="B95" s="141">
        <v>86</v>
      </c>
      <c r="C95" s="142" t="str">
        <f t="shared" si="25"/>
        <v/>
      </c>
      <c r="D95" s="371" t="str">
        <f t="shared" si="30"/>
        <v/>
      </c>
      <c r="E95" s="372"/>
      <c r="F95" s="372"/>
      <c r="G95" s="372"/>
      <c r="H95" s="372"/>
      <c r="I95" s="372"/>
      <c r="J95" s="373"/>
      <c r="K95" s="176" t="str">
        <f t="shared" si="27"/>
        <v/>
      </c>
      <c r="L95" s="177"/>
      <c r="M95" s="177"/>
      <c r="N95" s="177"/>
      <c r="O95" s="177"/>
      <c r="P95" s="177"/>
      <c r="Q95" s="144"/>
      <c r="R95" s="143" t="str">
        <f t="shared" si="21"/>
        <v/>
      </c>
      <c r="S95" s="142" t="str">
        <f t="shared" si="22"/>
        <v/>
      </c>
      <c r="T95" s="374" t="str">
        <f t="shared" si="28"/>
        <v/>
      </c>
      <c r="U95" s="372"/>
      <c r="V95" s="373"/>
      <c r="W95" s="374" t="str">
        <f t="shared" si="26"/>
        <v/>
      </c>
      <c r="X95" s="375"/>
      <c r="Y95" s="375"/>
      <c r="Z95" s="375"/>
      <c r="AA95" s="376"/>
      <c r="AB95" s="145" t="str">
        <f t="shared" si="29"/>
        <v/>
      </c>
      <c r="AC95" s="341" t="str">
        <f t="shared" si="23"/>
        <v/>
      </c>
      <c r="AD95" s="324"/>
      <c r="AE95" s="342"/>
      <c r="AF95" s="180"/>
      <c r="AG95" s="225"/>
      <c r="AH95" s="236" t="str">
        <f t="shared" si="24"/>
        <v/>
      </c>
    </row>
    <row r="96" spans="1:34" ht="15" customHeight="1">
      <c r="A96" s="43">
        <v>87</v>
      </c>
      <c r="B96" s="141">
        <v>87</v>
      </c>
      <c r="C96" s="142" t="str">
        <f t="shared" si="25"/>
        <v/>
      </c>
      <c r="D96" s="371" t="str">
        <f t="shared" si="30"/>
        <v/>
      </c>
      <c r="E96" s="372"/>
      <c r="F96" s="372"/>
      <c r="G96" s="372"/>
      <c r="H96" s="372"/>
      <c r="I96" s="372"/>
      <c r="J96" s="373"/>
      <c r="K96" s="176" t="str">
        <f t="shared" si="27"/>
        <v/>
      </c>
      <c r="L96" s="177"/>
      <c r="M96" s="177"/>
      <c r="N96" s="177"/>
      <c r="O96" s="177"/>
      <c r="P96" s="177"/>
      <c r="Q96" s="144"/>
      <c r="R96" s="143" t="str">
        <f t="shared" si="21"/>
        <v/>
      </c>
      <c r="S96" s="142" t="str">
        <f t="shared" si="22"/>
        <v/>
      </c>
      <c r="T96" s="374" t="str">
        <f t="shared" si="28"/>
        <v/>
      </c>
      <c r="U96" s="372"/>
      <c r="V96" s="373"/>
      <c r="W96" s="374" t="str">
        <f t="shared" si="26"/>
        <v/>
      </c>
      <c r="X96" s="375"/>
      <c r="Y96" s="375"/>
      <c r="Z96" s="375"/>
      <c r="AA96" s="376"/>
      <c r="AB96" s="145" t="str">
        <f t="shared" si="29"/>
        <v/>
      </c>
      <c r="AC96" s="341" t="str">
        <f t="shared" si="23"/>
        <v/>
      </c>
      <c r="AD96" s="324"/>
      <c r="AE96" s="342"/>
      <c r="AF96" s="180"/>
      <c r="AG96" s="225"/>
      <c r="AH96" s="236" t="str">
        <f t="shared" si="24"/>
        <v/>
      </c>
    </row>
    <row r="97" spans="1:34" ht="15" customHeight="1">
      <c r="A97" s="43">
        <v>88</v>
      </c>
      <c r="B97" s="141">
        <v>88</v>
      </c>
      <c r="C97" s="142" t="str">
        <f t="shared" si="25"/>
        <v/>
      </c>
      <c r="D97" s="371" t="str">
        <f t="shared" si="30"/>
        <v/>
      </c>
      <c r="E97" s="372"/>
      <c r="F97" s="372"/>
      <c r="G97" s="372"/>
      <c r="H97" s="372"/>
      <c r="I97" s="372"/>
      <c r="J97" s="373"/>
      <c r="K97" s="176" t="str">
        <f t="shared" si="27"/>
        <v/>
      </c>
      <c r="L97" s="177"/>
      <c r="M97" s="177"/>
      <c r="N97" s="177"/>
      <c r="O97" s="177"/>
      <c r="P97" s="177"/>
      <c r="Q97" s="144"/>
      <c r="R97" s="143" t="str">
        <f t="shared" si="21"/>
        <v/>
      </c>
      <c r="S97" s="142" t="str">
        <f t="shared" si="22"/>
        <v/>
      </c>
      <c r="T97" s="374" t="str">
        <f t="shared" si="28"/>
        <v/>
      </c>
      <c r="U97" s="372"/>
      <c r="V97" s="373"/>
      <c r="W97" s="374" t="str">
        <f t="shared" si="26"/>
        <v/>
      </c>
      <c r="X97" s="375"/>
      <c r="Y97" s="375"/>
      <c r="Z97" s="375"/>
      <c r="AA97" s="376"/>
      <c r="AB97" s="145" t="str">
        <f t="shared" si="29"/>
        <v/>
      </c>
      <c r="AC97" s="341" t="str">
        <f t="shared" si="23"/>
        <v/>
      </c>
      <c r="AD97" s="324"/>
      <c r="AE97" s="342"/>
      <c r="AF97" s="180"/>
      <c r="AG97" s="225"/>
      <c r="AH97" s="236" t="str">
        <f t="shared" si="24"/>
        <v/>
      </c>
    </row>
    <row r="98" spans="1:34" ht="15" customHeight="1">
      <c r="A98" s="43">
        <v>89</v>
      </c>
      <c r="B98" s="141">
        <v>89</v>
      </c>
      <c r="C98" s="142" t="str">
        <f t="shared" si="25"/>
        <v/>
      </c>
      <c r="D98" s="371" t="str">
        <f t="shared" si="30"/>
        <v/>
      </c>
      <c r="E98" s="372"/>
      <c r="F98" s="372"/>
      <c r="G98" s="372"/>
      <c r="H98" s="372"/>
      <c r="I98" s="372"/>
      <c r="J98" s="373"/>
      <c r="K98" s="176" t="str">
        <f t="shared" si="27"/>
        <v/>
      </c>
      <c r="L98" s="177"/>
      <c r="M98" s="177"/>
      <c r="N98" s="177"/>
      <c r="O98" s="177"/>
      <c r="P98" s="177"/>
      <c r="Q98" s="144"/>
      <c r="R98" s="143" t="str">
        <f t="shared" si="21"/>
        <v/>
      </c>
      <c r="S98" s="142" t="str">
        <f t="shared" si="22"/>
        <v/>
      </c>
      <c r="T98" s="374" t="str">
        <f t="shared" si="28"/>
        <v/>
      </c>
      <c r="U98" s="372"/>
      <c r="V98" s="373"/>
      <c r="W98" s="374" t="str">
        <f t="shared" si="26"/>
        <v/>
      </c>
      <c r="X98" s="375"/>
      <c r="Y98" s="375"/>
      <c r="Z98" s="375"/>
      <c r="AA98" s="376"/>
      <c r="AB98" s="145" t="str">
        <f t="shared" si="29"/>
        <v/>
      </c>
      <c r="AC98" s="341" t="str">
        <f t="shared" si="23"/>
        <v/>
      </c>
      <c r="AD98" s="324"/>
      <c r="AE98" s="342"/>
      <c r="AF98" s="180"/>
      <c r="AG98" s="225"/>
      <c r="AH98" s="236" t="str">
        <f t="shared" si="24"/>
        <v/>
      </c>
    </row>
    <row r="99" spans="1:34" ht="15" customHeight="1">
      <c r="A99" s="43">
        <v>90</v>
      </c>
      <c r="B99" s="141">
        <v>90</v>
      </c>
      <c r="C99" s="142" t="str">
        <f t="shared" si="25"/>
        <v/>
      </c>
      <c r="D99" s="371" t="str">
        <f t="shared" si="30"/>
        <v/>
      </c>
      <c r="E99" s="372"/>
      <c r="F99" s="372"/>
      <c r="G99" s="372"/>
      <c r="H99" s="372"/>
      <c r="I99" s="372"/>
      <c r="J99" s="373"/>
      <c r="K99" s="176" t="str">
        <f t="shared" si="27"/>
        <v/>
      </c>
      <c r="L99" s="177"/>
      <c r="M99" s="177"/>
      <c r="N99" s="177"/>
      <c r="O99" s="177"/>
      <c r="P99" s="177"/>
      <c r="Q99" s="144"/>
      <c r="R99" s="143" t="str">
        <f t="shared" ref="R99:R132" si="31">IF(IF(ISNA(VLOOKUP(A99,StartList,7,FALSE)),"",VLOOKUP(A99,StartList,7,FALSE))=0,"",IF(ISNA(VLOOKUP(A99,StartList,7,FALSE)),"",VLOOKUP(A99,StartList,7,FALSE)))</f>
        <v/>
      </c>
      <c r="S99" s="142" t="str">
        <f t="shared" ref="S99:S132" si="32">IF(IF(ISNA(VLOOKUP(A99,StartList,6,FALSE)),"",VLOOKUP(A99,StartList,6,FALSE))=0,"",IF(ISNA(VLOOKUP(A99,StartList,6,FALSE)),"",VLOOKUP(A99,StartList,6,FALSE)))</f>
        <v/>
      </c>
      <c r="T99" s="374" t="str">
        <f t="shared" si="28"/>
        <v/>
      </c>
      <c r="U99" s="372"/>
      <c r="V99" s="373"/>
      <c r="W99" s="374" t="str">
        <f t="shared" si="26"/>
        <v/>
      </c>
      <c r="X99" s="375"/>
      <c r="Y99" s="375"/>
      <c r="Z99" s="375"/>
      <c r="AA99" s="376"/>
      <c r="AB99" s="145" t="str">
        <f t="shared" si="29"/>
        <v/>
      </c>
      <c r="AC99" s="341" t="str">
        <f t="shared" si="23"/>
        <v/>
      </c>
      <c r="AD99" s="324"/>
      <c r="AE99" s="342"/>
      <c r="AF99" s="180"/>
      <c r="AG99" s="225"/>
      <c r="AH99" s="236" t="str">
        <f t="shared" ref="AH99:AH132" si="33">IF(T99="","",(T99-$T$10)/$T$10)</f>
        <v/>
      </c>
    </row>
    <row r="100" spans="1:34" ht="15" customHeight="1">
      <c r="A100" s="43">
        <v>91</v>
      </c>
      <c r="B100" s="141">
        <v>91</v>
      </c>
      <c r="C100" s="142" t="str">
        <f t="shared" si="25"/>
        <v/>
      </c>
      <c r="D100" s="371" t="str">
        <f t="shared" si="30"/>
        <v/>
      </c>
      <c r="E100" s="372"/>
      <c r="F100" s="372"/>
      <c r="G100" s="372"/>
      <c r="H100" s="372"/>
      <c r="I100" s="372"/>
      <c r="J100" s="373"/>
      <c r="K100" s="176" t="str">
        <f t="shared" si="27"/>
        <v/>
      </c>
      <c r="L100" s="177"/>
      <c r="M100" s="177"/>
      <c r="N100" s="177"/>
      <c r="O100" s="177"/>
      <c r="P100" s="177"/>
      <c r="Q100" s="144"/>
      <c r="R100" s="143" t="str">
        <f t="shared" si="31"/>
        <v/>
      </c>
      <c r="S100" s="142" t="str">
        <f t="shared" si="32"/>
        <v/>
      </c>
      <c r="T100" s="374" t="str">
        <f t="shared" si="28"/>
        <v/>
      </c>
      <c r="U100" s="372"/>
      <c r="V100" s="373"/>
      <c r="W100" s="374" t="str">
        <f t="shared" si="26"/>
        <v/>
      </c>
      <c r="X100" s="375"/>
      <c r="Y100" s="375"/>
      <c r="Z100" s="375"/>
      <c r="AA100" s="376"/>
      <c r="AB100" s="145" t="str">
        <f t="shared" si="29"/>
        <v/>
      </c>
      <c r="AC100" s="341" t="str">
        <f t="shared" si="23"/>
        <v/>
      </c>
      <c r="AD100" s="324"/>
      <c r="AE100" s="342"/>
      <c r="AF100" s="180"/>
      <c r="AG100" s="225"/>
      <c r="AH100" s="236" t="str">
        <f t="shared" si="33"/>
        <v/>
      </c>
    </row>
    <row r="101" spans="1:34" ht="15" customHeight="1">
      <c r="A101" s="43">
        <v>92</v>
      </c>
      <c r="B101" s="141">
        <v>92</v>
      </c>
      <c r="C101" s="142" t="str">
        <f t="shared" si="25"/>
        <v/>
      </c>
      <c r="D101" s="371" t="str">
        <f t="shared" si="30"/>
        <v/>
      </c>
      <c r="E101" s="372"/>
      <c r="F101" s="372"/>
      <c r="G101" s="372"/>
      <c r="H101" s="372"/>
      <c r="I101" s="372"/>
      <c r="J101" s="373"/>
      <c r="K101" s="176" t="str">
        <f t="shared" si="27"/>
        <v/>
      </c>
      <c r="L101" s="177"/>
      <c r="M101" s="177"/>
      <c r="N101" s="177"/>
      <c r="O101" s="177"/>
      <c r="P101" s="177"/>
      <c r="Q101" s="144"/>
      <c r="R101" s="143" t="str">
        <f t="shared" si="31"/>
        <v/>
      </c>
      <c r="S101" s="142" t="str">
        <f t="shared" si="32"/>
        <v/>
      </c>
      <c r="T101" s="374" t="str">
        <f t="shared" si="28"/>
        <v/>
      </c>
      <c r="U101" s="372"/>
      <c r="V101" s="373"/>
      <c r="W101" s="374" t="str">
        <f t="shared" si="26"/>
        <v/>
      </c>
      <c r="X101" s="375"/>
      <c r="Y101" s="375"/>
      <c r="Z101" s="375"/>
      <c r="AA101" s="376"/>
      <c r="AB101" s="145" t="str">
        <f t="shared" si="29"/>
        <v/>
      </c>
      <c r="AC101" s="341" t="str">
        <f t="shared" si="23"/>
        <v/>
      </c>
      <c r="AD101" s="324"/>
      <c r="AE101" s="342"/>
      <c r="AF101" s="180"/>
      <c r="AG101" s="225"/>
      <c r="AH101" s="236" t="str">
        <f t="shared" si="33"/>
        <v/>
      </c>
    </row>
    <row r="102" spans="1:34" ht="15" customHeight="1">
      <c r="A102" s="43">
        <v>93</v>
      </c>
      <c r="B102" s="141">
        <v>93</v>
      </c>
      <c r="C102" s="142" t="str">
        <f t="shared" si="25"/>
        <v/>
      </c>
      <c r="D102" s="371" t="str">
        <f t="shared" si="30"/>
        <v/>
      </c>
      <c r="E102" s="372"/>
      <c r="F102" s="372"/>
      <c r="G102" s="372"/>
      <c r="H102" s="372"/>
      <c r="I102" s="372"/>
      <c r="J102" s="373"/>
      <c r="K102" s="176" t="str">
        <f t="shared" si="27"/>
        <v/>
      </c>
      <c r="L102" s="177"/>
      <c r="M102" s="177"/>
      <c r="N102" s="177"/>
      <c r="O102" s="177"/>
      <c r="P102" s="177"/>
      <c r="Q102" s="144"/>
      <c r="R102" s="143" t="str">
        <f t="shared" si="31"/>
        <v/>
      </c>
      <c r="S102" s="142" t="str">
        <f t="shared" si="32"/>
        <v/>
      </c>
      <c r="T102" s="374" t="str">
        <f t="shared" si="28"/>
        <v/>
      </c>
      <c r="U102" s="372"/>
      <c r="V102" s="373"/>
      <c r="W102" s="374" t="str">
        <f t="shared" si="26"/>
        <v/>
      </c>
      <c r="X102" s="375"/>
      <c r="Y102" s="375"/>
      <c r="Z102" s="375"/>
      <c r="AA102" s="376"/>
      <c r="AB102" s="145" t="str">
        <f t="shared" si="29"/>
        <v/>
      </c>
      <c r="AC102" s="341" t="str">
        <f t="shared" si="23"/>
        <v/>
      </c>
      <c r="AD102" s="324"/>
      <c r="AE102" s="342"/>
      <c r="AF102" s="180"/>
      <c r="AG102" s="225"/>
      <c r="AH102" s="236" t="str">
        <f t="shared" si="33"/>
        <v/>
      </c>
    </row>
    <row r="103" spans="1:34" ht="15" customHeight="1">
      <c r="A103" s="43">
        <v>94</v>
      </c>
      <c r="B103" s="141">
        <v>94</v>
      </c>
      <c r="C103" s="142" t="str">
        <f t="shared" si="25"/>
        <v/>
      </c>
      <c r="D103" s="371" t="str">
        <f t="shared" si="30"/>
        <v/>
      </c>
      <c r="E103" s="372"/>
      <c r="F103" s="372"/>
      <c r="G103" s="372"/>
      <c r="H103" s="372"/>
      <c r="I103" s="372"/>
      <c r="J103" s="373"/>
      <c r="K103" s="176" t="str">
        <f t="shared" si="27"/>
        <v/>
      </c>
      <c r="L103" s="177"/>
      <c r="M103" s="177"/>
      <c r="N103" s="177"/>
      <c r="O103" s="177"/>
      <c r="P103" s="177"/>
      <c r="Q103" s="144"/>
      <c r="R103" s="143" t="str">
        <f t="shared" si="31"/>
        <v/>
      </c>
      <c r="S103" s="142" t="str">
        <f t="shared" si="32"/>
        <v/>
      </c>
      <c r="T103" s="374" t="str">
        <f t="shared" si="28"/>
        <v/>
      </c>
      <c r="U103" s="372"/>
      <c r="V103" s="373"/>
      <c r="W103" s="374" t="str">
        <f t="shared" si="26"/>
        <v/>
      </c>
      <c r="X103" s="375"/>
      <c r="Y103" s="375"/>
      <c r="Z103" s="375"/>
      <c r="AA103" s="376"/>
      <c r="AB103" s="145" t="str">
        <f t="shared" si="29"/>
        <v/>
      </c>
      <c r="AC103" s="341" t="str">
        <f t="shared" si="23"/>
        <v/>
      </c>
      <c r="AD103" s="324"/>
      <c r="AE103" s="342"/>
      <c r="AF103" s="180"/>
      <c r="AG103" s="225"/>
      <c r="AH103" s="236" t="str">
        <f t="shared" si="33"/>
        <v/>
      </c>
    </row>
    <row r="104" spans="1:34" ht="15" customHeight="1">
      <c r="A104" s="43">
        <v>95</v>
      </c>
      <c r="B104" s="141">
        <v>95</v>
      </c>
      <c r="C104" s="142" t="str">
        <f t="shared" si="25"/>
        <v/>
      </c>
      <c r="D104" s="371" t="str">
        <f t="shared" si="30"/>
        <v/>
      </c>
      <c r="E104" s="372"/>
      <c r="F104" s="372"/>
      <c r="G104" s="372"/>
      <c r="H104" s="372"/>
      <c r="I104" s="372"/>
      <c r="J104" s="373"/>
      <c r="K104" s="176" t="str">
        <f t="shared" si="27"/>
        <v/>
      </c>
      <c r="L104" s="177"/>
      <c r="M104" s="177"/>
      <c r="N104" s="177"/>
      <c r="O104" s="177"/>
      <c r="P104" s="177"/>
      <c r="Q104" s="144"/>
      <c r="R104" s="143" t="str">
        <f t="shared" si="31"/>
        <v/>
      </c>
      <c r="S104" s="142" t="str">
        <f t="shared" si="32"/>
        <v/>
      </c>
      <c r="T104" s="374" t="str">
        <f t="shared" si="28"/>
        <v/>
      </c>
      <c r="U104" s="372"/>
      <c r="V104" s="373"/>
      <c r="W104" s="374" t="str">
        <f t="shared" si="26"/>
        <v/>
      </c>
      <c r="X104" s="375"/>
      <c r="Y104" s="375"/>
      <c r="Z104" s="375"/>
      <c r="AA104" s="376"/>
      <c r="AB104" s="145" t="str">
        <f t="shared" si="29"/>
        <v/>
      </c>
      <c r="AC104" s="341" t="str">
        <f t="shared" si="23"/>
        <v/>
      </c>
      <c r="AD104" s="324"/>
      <c r="AE104" s="342"/>
      <c r="AF104" s="180"/>
      <c r="AG104" s="225"/>
      <c r="AH104" s="236" t="str">
        <f t="shared" si="33"/>
        <v/>
      </c>
    </row>
    <row r="105" spans="1:34" ht="15" customHeight="1">
      <c r="A105" s="43">
        <v>96</v>
      </c>
      <c r="B105" s="141">
        <v>96</v>
      </c>
      <c r="C105" s="142" t="str">
        <f t="shared" si="25"/>
        <v/>
      </c>
      <c r="D105" s="371" t="str">
        <f t="shared" si="30"/>
        <v/>
      </c>
      <c r="E105" s="372"/>
      <c r="F105" s="372"/>
      <c r="G105" s="372"/>
      <c r="H105" s="372"/>
      <c r="I105" s="372"/>
      <c r="J105" s="373"/>
      <c r="K105" s="176" t="str">
        <f t="shared" si="27"/>
        <v/>
      </c>
      <c r="L105" s="177"/>
      <c r="M105" s="177"/>
      <c r="N105" s="177"/>
      <c r="O105" s="177"/>
      <c r="P105" s="177"/>
      <c r="Q105" s="144"/>
      <c r="R105" s="143" t="str">
        <f t="shared" si="31"/>
        <v/>
      </c>
      <c r="S105" s="142" t="str">
        <f t="shared" si="32"/>
        <v/>
      </c>
      <c r="T105" s="374" t="str">
        <f t="shared" si="28"/>
        <v/>
      </c>
      <c r="U105" s="372"/>
      <c r="V105" s="373"/>
      <c r="W105" s="374" t="str">
        <f t="shared" si="26"/>
        <v/>
      </c>
      <c r="X105" s="375"/>
      <c r="Y105" s="375"/>
      <c r="Z105" s="375"/>
      <c r="AA105" s="376"/>
      <c r="AB105" s="145" t="str">
        <f t="shared" si="29"/>
        <v/>
      </c>
      <c r="AC105" s="341" t="str">
        <f t="shared" si="23"/>
        <v/>
      </c>
      <c r="AD105" s="324"/>
      <c r="AE105" s="342"/>
      <c r="AF105" s="180"/>
      <c r="AG105" s="225"/>
      <c r="AH105" s="236" t="str">
        <f t="shared" si="33"/>
        <v/>
      </c>
    </row>
    <row r="106" spans="1:34" ht="15" customHeight="1">
      <c r="A106" s="43">
        <v>97</v>
      </c>
      <c r="B106" s="141">
        <v>97</v>
      </c>
      <c r="C106" s="142" t="str">
        <f t="shared" si="25"/>
        <v/>
      </c>
      <c r="D106" s="371" t="str">
        <f t="shared" si="30"/>
        <v/>
      </c>
      <c r="E106" s="372"/>
      <c r="F106" s="372"/>
      <c r="G106" s="372"/>
      <c r="H106" s="372"/>
      <c r="I106" s="372"/>
      <c r="J106" s="373"/>
      <c r="K106" s="176" t="str">
        <f t="shared" si="27"/>
        <v/>
      </c>
      <c r="L106" s="177"/>
      <c r="M106" s="177"/>
      <c r="N106" s="177"/>
      <c r="O106" s="177"/>
      <c r="P106" s="177"/>
      <c r="Q106" s="144"/>
      <c r="R106" s="143" t="str">
        <f t="shared" si="31"/>
        <v/>
      </c>
      <c r="S106" s="142" t="str">
        <f t="shared" si="32"/>
        <v/>
      </c>
      <c r="T106" s="374" t="str">
        <f t="shared" si="28"/>
        <v/>
      </c>
      <c r="U106" s="372"/>
      <c r="V106" s="373"/>
      <c r="W106" s="374" t="str">
        <f t="shared" ref="W106:W137" si="34">IF(IF(ISNA(VLOOKUP(A106,StartList,13,FALSE)),"",VLOOKUP(A106,StartList,13,FALSE))=0,"",IF(ISNA(VLOOKUP(A106,StartList,13,FALSE)),"",VLOOKUP(A106,StartList,13,FALSE)))</f>
        <v/>
      </c>
      <c r="X106" s="375"/>
      <c r="Y106" s="375"/>
      <c r="Z106" s="375"/>
      <c r="AA106" s="376"/>
      <c r="AB106" s="145" t="str">
        <f t="shared" si="29"/>
        <v/>
      </c>
      <c r="AC106" s="341" t="str">
        <f t="shared" si="23"/>
        <v/>
      </c>
      <c r="AD106" s="324"/>
      <c r="AE106" s="342"/>
      <c r="AF106" s="180"/>
      <c r="AG106" s="225"/>
      <c r="AH106" s="236" t="str">
        <f t="shared" si="33"/>
        <v/>
      </c>
    </row>
    <row r="107" spans="1:34" ht="15" customHeight="1">
      <c r="A107" s="43">
        <v>98</v>
      </c>
      <c r="B107" s="141">
        <v>98</v>
      </c>
      <c r="C107" s="142" t="str">
        <f t="shared" si="25"/>
        <v/>
      </c>
      <c r="D107" s="371" t="str">
        <f t="shared" si="30"/>
        <v/>
      </c>
      <c r="E107" s="372"/>
      <c r="F107" s="372"/>
      <c r="G107" s="372"/>
      <c r="H107" s="372"/>
      <c r="I107" s="372"/>
      <c r="J107" s="373"/>
      <c r="K107" s="176" t="str">
        <f t="shared" si="27"/>
        <v/>
      </c>
      <c r="L107" s="177"/>
      <c r="M107" s="177"/>
      <c r="N107" s="177"/>
      <c r="O107" s="177"/>
      <c r="P107" s="177"/>
      <c r="Q107" s="144"/>
      <c r="R107" s="143" t="str">
        <f t="shared" si="31"/>
        <v/>
      </c>
      <c r="S107" s="142" t="str">
        <f t="shared" si="32"/>
        <v/>
      </c>
      <c r="T107" s="374" t="str">
        <f t="shared" si="28"/>
        <v/>
      </c>
      <c r="U107" s="372"/>
      <c r="V107" s="373"/>
      <c r="W107" s="374" t="str">
        <f t="shared" si="34"/>
        <v/>
      </c>
      <c r="X107" s="375"/>
      <c r="Y107" s="375"/>
      <c r="Z107" s="375"/>
      <c r="AA107" s="376"/>
      <c r="AB107" s="145" t="str">
        <f t="shared" si="29"/>
        <v/>
      </c>
      <c r="AC107" s="341" t="str">
        <f t="shared" ref="AC107:AC170" si="35">IF(IF(ISNA(VLOOKUP(A107,StartList,17,FALSE)),"",VLOOKUP(A107,StartList,17,FALSE))=0,"",IF(ISNA(VLOOKUP(A107,StartList,17,FALSE)),"",VLOOKUP(A107,StartList,17,FALSE)))</f>
        <v/>
      </c>
      <c r="AD107" s="324"/>
      <c r="AE107" s="342"/>
      <c r="AF107" s="180"/>
      <c r="AG107" s="225"/>
      <c r="AH107" s="236" t="str">
        <f t="shared" si="33"/>
        <v/>
      </c>
    </row>
    <row r="108" spans="1:34" ht="15" customHeight="1">
      <c r="A108" s="43">
        <v>99</v>
      </c>
      <c r="B108" s="141">
        <v>99</v>
      </c>
      <c r="C108" s="142" t="str">
        <f t="shared" si="25"/>
        <v/>
      </c>
      <c r="D108" s="371" t="str">
        <f t="shared" si="30"/>
        <v/>
      </c>
      <c r="E108" s="372"/>
      <c r="F108" s="372"/>
      <c r="G108" s="372"/>
      <c r="H108" s="372"/>
      <c r="I108" s="372"/>
      <c r="J108" s="373"/>
      <c r="K108" s="176" t="str">
        <f t="shared" si="27"/>
        <v/>
      </c>
      <c r="L108" s="177"/>
      <c r="M108" s="177"/>
      <c r="N108" s="177"/>
      <c r="O108" s="177"/>
      <c r="P108" s="177"/>
      <c r="Q108" s="144"/>
      <c r="R108" s="143" t="str">
        <f t="shared" si="31"/>
        <v/>
      </c>
      <c r="S108" s="142" t="str">
        <f t="shared" si="32"/>
        <v/>
      </c>
      <c r="T108" s="374" t="str">
        <f t="shared" si="28"/>
        <v/>
      </c>
      <c r="U108" s="372"/>
      <c r="V108" s="373"/>
      <c r="W108" s="374" t="str">
        <f t="shared" si="34"/>
        <v/>
      </c>
      <c r="X108" s="375"/>
      <c r="Y108" s="375"/>
      <c r="Z108" s="375"/>
      <c r="AA108" s="376"/>
      <c r="AB108" s="145" t="str">
        <f t="shared" si="29"/>
        <v/>
      </c>
      <c r="AC108" s="341" t="str">
        <f t="shared" si="35"/>
        <v/>
      </c>
      <c r="AD108" s="324"/>
      <c r="AE108" s="342"/>
      <c r="AF108" s="180"/>
      <c r="AG108" s="225"/>
      <c r="AH108" s="236" t="str">
        <f t="shared" si="33"/>
        <v/>
      </c>
    </row>
    <row r="109" spans="1:34" ht="15" customHeight="1">
      <c r="A109" s="43">
        <v>100</v>
      </c>
      <c r="B109" s="141">
        <v>100</v>
      </c>
      <c r="C109" s="142" t="str">
        <f t="shared" si="25"/>
        <v/>
      </c>
      <c r="D109" s="371" t="str">
        <f t="shared" si="30"/>
        <v/>
      </c>
      <c r="E109" s="372"/>
      <c r="F109" s="372"/>
      <c r="G109" s="372"/>
      <c r="H109" s="372"/>
      <c r="I109" s="372"/>
      <c r="J109" s="373"/>
      <c r="K109" s="176" t="str">
        <f t="shared" si="27"/>
        <v/>
      </c>
      <c r="L109" s="177"/>
      <c r="M109" s="177"/>
      <c r="N109" s="177"/>
      <c r="O109" s="177"/>
      <c r="P109" s="177"/>
      <c r="Q109" s="144"/>
      <c r="R109" s="143" t="str">
        <f t="shared" si="31"/>
        <v/>
      </c>
      <c r="S109" s="142" t="str">
        <f t="shared" si="32"/>
        <v/>
      </c>
      <c r="T109" s="374" t="str">
        <f t="shared" si="28"/>
        <v/>
      </c>
      <c r="U109" s="372"/>
      <c r="V109" s="373"/>
      <c r="W109" s="374" t="str">
        <f t="shared" si="34"/>
        <v/>
      </c>
      <c r="X109" s="375"/>
      <c r="Y109" s="375"/>
      <c r="Z109" s="375"/>
      <c r="AA109" s="376"/>
      <c r="AB109" s="145" t="str">
        <f t="shared" si="29"/>
        <v/>
      </c>
      <c r="AC109" s="341" t="str">
        <f t="shared" si="35"/>
        <v/>
      </c>
      <c r="AD109" s="324"/>
      <c r="AE109" s="342"/>
      <c r="AF109" s="180"/>
      <c r="AG109" s="225"/>
      <c r="AH109" s="236" t="str">
        <f t="shared" si="33"/>
        <v/>
      </c>
    </row>
    <row r="110" spans="1:34" ht="15" customHeight="1">
      <c r="A110" s="43">
        <v>101</v>
      </c>
      <c r="B110" s="141">
        <v>101</v>
      </c>
      <c r="C110" s="142" t="str">
        <f t="shared" si="25"/>
        <v/>
      </c>
      <c r="D110" s="371" t="str">
        <f t="shared" si="30"/>
        <v/>
      </c>
      <c r="E110" s="372"/>
      <c r="F110" s="372"/>
      <c r="G110" s="372"/>
      <c r="H110" s="372"/>
      <c r="I110" s="372"/>
      <c r="J110" s="373"/>
      <c r="K110" s="176" t="str">
        <f t="shared" si="27"/>
        <v/>
      </c>
      <c r="L110" s="177"/>
      <c r="M110" s="177"/>
      <c r="N110" s="177"/>
      <c r="O110" s="177"/>
      <c r="P110" s="177"/>
      <c r="Q110" s="144"/>
      <c r="R110" s="143" t="str">
        <f t="shared" si="31"/>
        <v/>
      </c>
      <c r="S110" s="142" t="str">
        <f t="shared" si="32"/>
        <v/>
      </c>
      <c r="T110" s="374" t="str">
        <f t="shared" si="28"/>
        <v/>
      </c>
      <c r="U110" s="372"/>
      <c r="V110" s="373"/>
      <c r="W110" s="374" t="str">
        <f t="shared" si="34"/>
        <v/>
      </c>
      <c r="X110" s="375"/>
      <c r="Y110" s="375"/>
      <c r="Z110" s="375"/>
      <c r="AA110" s="376"/>
      <c r="AB110" s="145" t="str">
        <f t="shared" si="29"/>
        <v/>
      </c>
      <c r="AC110" s="341" t="str">
        <f t="shared" si="35"/>
        <v/>
      </c>
      <c r="AD110" s="324"/>
      <c r="AE110" s="342"/>
      <c r="AF110" s="180"/>
      <c r="AG110" s="225"/>
      <c r="AH110" s="236" t="str">
        <f t="shared" si="33"/>
        <v/>
      </c>
    </row>
    <row r="111" spans="1:34" ht="15" customHeight="1">
      <c r="A111" s="43">
        <v>102</v>
      </c>
      <c r="B111" s="141">
        <v>102</v>
      </c>
      <c r="C111" s="142" t="str">
        <f t="shared" si="25"/>
        <v/>
      </c>
      <c r="D111" s="371" t="str">
        <f t="shared" si="30"/>
        <v/>
      </c>
      <c r="E111" s="372"/>
      <c r="F111" s="372"/>
      <c r="G111" s="372"/>
      <c r="H111" s="372"/>
      <c r="I111" s="372"/>
      <c r="J111" s="373"/>
      <c r="K111" s="176" t="str">
        <f t="shared" si="27"/>
        <v/>
      </c>
      <c r="L111" s="177"/>
      <c r="M111" s="177"/>
      <c r="N111" s="177"/>
      <c r="O111" s="177"/>
      <c r="P111" s="177"/>
      <c r="Q111" s="144"/>
      <c r="R111" s="143" t="str">
        <f t="shared" si="31"/>
        <v/>
      </c>
      <c r="S111" s="142" t="str">
        <f t="shared" si="32"/>
        <v/>
      </c>
      <c r="T111" s="374" t="str">
        <f t="shared" si="28"/>
        <v/>
      </c>
      <c r="U111" s="372"/>
      <c r="V111" s="373"/>
      <c r="W111" s="374" t="str">
        <f t="shared" si="34"/>
        <v/>
      </c>
      <c r="X111" s="375"/>
      <c r="Y111" s="375"/>
      <c r="Z111" s="375"/>
      <c r="AA111" s="376"/>
      <c r="AB111" s="145" t="str">
        <f t="shared" si="29"/>
        <v/>
      </c>
      <c r="AC111" s="341" t="str">
        <f t="shared" si="35"/>
        <v/>
      </c>
      <c r="AD111" s="324"/>
      <c r="AE111" s="342"/>
      <c r="AF111" s="180"/>
      <c r="AG111" s="225"/>
      <c r="AH111" s="236" t="str">
        <f t="shared" si="33"/>
        <v/>
      </c>
    </row>
    <row r="112" spans="1:34" ht="15" customHeight="1">
      <c r="A112" s="43">
        <v>103</v>
      </c>
      <c r="B112" s="141">
        <v>103</v>
      </c>
      <c r="C112" s="142" t="str">
        <f t="shared" si="25"/>
        <v/>
      </c>
      <c r="D112" s="371" t="str">
        <f t="shared" si="30"/>
        <v/>
      </c>
      <c r="E112" s="372"/>
      <c r="F112" s="372"/>
      <c r="G112" s="372"/>
      <c r="H112" s="372"/>
      <c r="I112" s="372"/>
      <c r="J112" s="373"/>
      <c r="K112" s="176" t="str">
        <f t="shared" si="27"/>
        <v/>
      </c>
      <c r="L112" s="177"/>
      <c r="M112" s="177"/>
      <c r="N112" s="177"/>
      <c r="O112" s="177"/>
      <c r="P112" s="177"/>
      <c r="Q112" s="144"/>
      <c r="R112" s="143" t="str">
        <f t="shared" si="31"/>
        <v/>
      </c>
      <c r="S112" s="142" t="str">
        <f t="shared" si="32"/>
        <v/>
      </c>
      <c r="T112" s="374" t="str">
        <f t="shared" si="28"/>
        <v/>
      </c>
      <c r="U112" s="372"/>
      <c r="V112" s="373"/>
      <c r="W112" s="374" t="str">
        <f t="shared" si="34"/>
        <v/>
      </c>
      <c r="X112" s="375"/>
      <c r="Y112" s="375"/>
      <c r="Z112" s="375"/>
      <c r="AA112" s="376"/>
      <c r="AB112" s="145" t="str">
        <f t="shared" si="29"/>
        <v/>
      </c>
      <c r="AC112" s="341" t="str">
        <f t="shared" si="35"/>
        <v/>
      </c>
      <c r="AD112" s="324"/>
      <c r="AE112" s="342"/>
      <c r="AF112" s="180"/>
      <c r="AG112" s="225"/>
      <c r="AH112" s="236" t="str">
        <f t="shared" si="33"/>
        <v/>
      </c>
    </row>
    <row r="113" spans="1:34" ht="15" customHeight="1">
      <c r="A113" s="43">
        <v>104</v>
      </c>
      <c r="B113" s="141">
        <v>104</v>
      </c>
      <c r="C113" s="142" t="str">
        <f t="shared" si="25"/>
        <v/>
      </c>
      <c r="D113" s="371" t="str">
        <f t="shared" si="30"/>
        <v/>
      </c>
      <c r="E113" s="372"/>
      <c r="F113" s="372"/>
      <c r="G113" s="372"/>
      <c r="H113" s="372"/>
      <c r="I113" s="372"/>
      <c r="J113" s="373"/>
      <c r="K113" s="176" t="str">
        <f t="shared" si="27"/>
        <v/>
      </c>
      <c r="L113" s="177"/>
      <c r="M113" s="177"/>
      <c r="N113" s="177"/>
      <c r="O113" s="177"/>
      <c r="P113" s="177"/>
      <c r="Q113" s="144"/>
      <c r="R113" s="143" t="str">
        <f t="shared" si="31"/>
        <v/>
      </c>
      <c r="S113" s="142" t="str">
        <f t="shared" si="32"/>
        <v/>
      </c>
      <c r="T113" s="374" t="str">
        <f t="shared" si="28"/>
        <v/>
      </c>
      <c r="U113" s="372"/>
      <c r="V113" s="373"/>
      <c r="W113" s="374" t="str">
        <f t="shared" si="34"/>
        <v/>
      </c>
      <c r="X113" s="375"/>
      <c r="Y113" s="375"/>
      <c r="Z113" s="375"/>
      <c r="AA113" s="376"/>
      <c r="AB113" s="145" t="str">
        <f t="shared" si="29"/>
        <v/>
      </c>
      <c r="AC113" s="341" t="str">
        <f t="shared" si="35"/>
        <v/>
      </c>
      <c r="AD113" s="324"/>
      <c r="AE113" s="342"/>
      <c r="AF113" s="180"/>
      <c r="AG113" s="225"/>
      <c r="AH113" s="236" t="str">
        <f t="shared" si="33"/>
        <v/>
      </c>
    </row>
    <row r="114" spans="1:34" ht="15" customHeight="1">
      <c r="A114" s="43">
        <v>105</v>
      </c>
      <c r="B114" s="141">
        <v>105</v>
      </c>
      <c r="C114" s="142" t="str">
        <f t="shared" si="25"/>
        <v/>
      </c>
      <c r="D114" s="371" t="str">
        <f t="shared" si="30"/>
        <v/>
      </c>
      <c r="E114" s="372"/>
      <c r="F114" s="372"/>
      <c r="G114" s="372"/>
      <c r="H114" s="372"/>
      <c r="I114" s="372"/>
      <c r="J114" s="373"/>
      <c r="K114" s="176" t="str">
        <f t="shared" si="27"/>
        <v/>
      </c>
      <c r="L114" s="177"/>
      <c r="M114" s="177"/>
      <c r="N114" s="177"/>
      <c r="O114" s="177"/>
      <c r="P114" s="177"/>
      <c r="Q114" s="144"/>
      <c r="R114" s="143" t="str">
        <f t="shared" si="31"/>
        <v/>
      </c>
      <c r="S114" s="142" t="str">
        <f t="shared" si="32"/>
        <v/>
      </c>
      <c r="T114" s="374" t="str">
        <f t="shared" si="28"/>
        <v/>
      </c>
      <c r="U114" s="372"/>
      <c r="V114" s="373"/>
      <c r="W114" s="374" t="str">
        <f t="shared" si="34"/>
        <v/>
      </c>
      <c r="X114" s="375"/>
      <c r="Y114" s="375"/>
      <c r="Z114" s="375"/>
      <c r="AA114" s="376"/>
      <c r="AB114" s="145" t="str">
        <f t="shared" si="29"/>
        <v/>
      </c>
      <c r="AC114" s="341" t="str">
        <f t="shared" si="35"/>
        <v/>
      </c>
      <c r="AD114" s="324"/>
      <c r="AE114" s="342"/>
      <c r="AF114" s="180"/>
      <c r="AG114" s="225"/>
      <c r="AH114" s="236" t="str">
        <f t="shared" si="33"/>
        <v/>
      </c>
    </row>
    <row r="115" spans="1:34" ht="15" customHeight="1">
      <c r="A115" s="43">
        <v>106</v>
      </c>
      <c r="B115" s="141">
        <v>106</v>
      </c>
      <c r="C115" s="142" t="str">
        <f t="shared" si="25"/>
        <v/>
      </c>
      <c r="D115" s="371" t="str">
        <f t="shared" si="30"/>
        <v/>
      </c>
      <c r="E115" s="372"/>
      <c r="F115" s="372"/>
      <c r="G115" s="372"/>
      <c r="H115" s="372"/>
      <c r="I115" s="372"/>
      <c r="J115" s="373"/>
      <c r="K115" s="176" t="str">
        <f t="shared" si="27"/>
        <v/>
      </c>
      <c r="L115" s="177"/>
      <c r="M115" s="177"/>
      <c r="N115" s="177"/>
      <c r="O115" s="177"/>
      <c r="P115" s="177"/>
      <c r="Q115" s="144"/>
      <c r="R115" s="143" t="str">
        <f t="shared" si="31"/>
        <v/>
      </c>
      <c r="S115" s="142" t="str">
        <f t="shared" si="32"/>
        <v/>
      </c>
      <c r="T115" s="374" t="str">
        <f t="shared" si="28"/>
        <v/>
      </c>
      <c r="U115" s="372"/>
      <c r="V115" s="373"/>
      <c r="W115" s="374" t="str">
        <f t="shared" si="34"/>
        <v/>
      </c>
      <c r="X115" s="375"/>
      <c r="Y115" s="375"/>
      <c r="Z115" s="375"/>
      <c r="AA115" s="376"/>
      <c r="AB115" s="145" t="str">
        <f t="shared" si="29"/>
        <v/>
      </c>
      <c r="AC115" s="341" t="str">
        <f t="shared" si="35"/>
        <v/>
      </c>
      <c r="AD115" s="324"/>
      <c r="AE115" s="342"/>
      <c r="AF115" s="180"/>
      <c r="AG115" s="225"/>
      <c r="AH115" s="236" t="str">
        <f t="shared" si="33"/>
        <v/>
      </c>
    </row>
    <row r="116" spans="1:34" ht="15" customHeight="1">
      <c r="A116" s="43">
        <v>107</v>
      </c>
      <c r="B116" s="141">
        <v>107</v>
      </c>
      <c r="C116" s="142" t="str">
        <f t="shared" si="25"/>
        <v/>
      </c>
      <c r="D116" s="371" t="str">
        <f t="shared" si="30"/>
        <v/>
      </c>
      <c r="E116" s="372"/>
      <c r="F116" s="372"/>
      <c r="G116" s="372"/>
      <c r="H116" s="372"/>
      <c r="I116" s="372"/>
      <c r="J116" s="373"/>
      <c r="K116" s="176" t="str">
        <f t="shared" si="27"/>
        <v/>
      </c>
      <c r="L116" s="177"/>
      <c r="M116" s="177"/>
      <c r="N116" s="177"/>
      <c r="O116" s="177"/>
      <c r="P116" s="177"/>
      <c r="Q116" s="144"/>
      <c r="R116" s="143" t="str">
        <f t="shared" si="31"/>
        <v/>
      </c>
      <c r="S116" s="142" t="str">
        <f t="shared" si="32"/>
        <v/>
      </c>
      <c r="T116" s="374" t="str">
        <f t="shared" si="28"/>
        <v/>
      </c>
      <c r="U116" s="372"/>
      <c r="V116" s="373"/>
      <c r="W116" s="374" t="str">
        <f t="shared" si="34"/>
        <v/>
      </c>
      <c r="X116" s="375"/>
      <c r="Y116" s="375"/>
      <c r="Z116" s="375"/>
      <c r="AA116" s="376"/>
      <c r="AB116" s="145" t="str">
        <f t="shared" si="29"/>
        <v/>
      </c>
      <c r="AC116" s="341" t="str">
        <f t="shared" si="35"/>
        <v/>
      </c>
      <c r="AD116" s="324"/>
      <c r="AE116" s="342"/>
      <c r="AF116" s="180"/>
      <c r="AG116" s="225"/>
      <c r="AH116" s="236" t="str">
        <f t="shared" si="33"/>
        <v/>
      </c>
    </row>
    <row r="117" spans="1:34" ht="15" customHeight="1">
      <c r="A117" s="43">
        <v>108</v>
      </c>
      <c r="B117" s="141">
        <v>108</v>
      </c>
      <c r="C117" s="142" t="str">
        <f t="shared" si="25"/>
        <v/>
      </c>
      <c r="D117" s="371" t="str">
        <f t="shared" si="30"/>
        <v/>
      </c>
      <c r="E117" s="372"/>
      <c r="F117" s="372"/>
      <c r="G117" s="372"/>
      <c r="H117" s="372"/>
      <c r="I117" s="372"/>
      <c r="J117" s="373"/>
      <c r="K117" s="176" t="str">
        <f t="shared" si="27"/>
        <v/>
      </c>
      <c r="L117" s="177"/>
      <c r="M117" s="177"/>
      <c r="N117" s="177"/>
      <c r="O117" s="177"/>
      <c r="P117" s="177"/>
      <c r="Q117" s="144"/>
      <c r="R117" s="143" t="str">
        <f t="shared" si="31"/>
        <v/>
      </c>
      <c r="S117" s="142" t="str">
        <f t="shared" si="32"/>
        <v/>
      </c>
      <c r="T117" s="374" t="str">
        <f t="shared" si="28"/>
        <v/>
      </c>
      <c r="U117" s="372"/>
      <c r="V117" s="373"/>
      <c r="W117" s="374" t="str">
        <f t="shared" si="34"/>
        <v/>
      </c>
      <c r="X117" s="375"/>
      <c r="Y117" s="375"/>
      <c r="Z117" s="375"/>
      <c r="AA117" s="376"/>
      <c r="AB117" s="145" t="str">
        <f t="shared" si="29"/>
        <v/>
      </c>
      <c r="AC117" s="341" t="str">
        <f t="shared" si="35"/>
        <v/>
      </c>
      <c r="AD117" s="324"/>
      <c r="AE117" s="342"/>
      <c r="AF117" s="180"/>
      <c r="AG117" s="225"/>
      <c r="AH117" s="236" t="str">
        <f t="shared" si="33"/>
        <v/>
      </c>
    </row>
    <row r="118" spans="1:34" ht="15" customHeight="1">
      <c r="A118" s="43">
        <v>109</v>
      </c>
      <c r="B118" s="141">
        <v>109</v>
      </c>
      <c r="C118" s="142" t="str">
        <f t="shared" si="25"/>
        <v/>
      </c>
      <c r="D118" s="371" t="str">
        <f t="shared" si="30"/>
        <v/>
      </c>
      <c r="E118" s="372"/>
      <c r="F118" s="372"/>
      <c r="G118" s="372"/>
      <c r="H118" s="372"/>
      <c r="I118" s="372"/>
      <c r="J118" s="373"/>
      <c r="K118" s="176" t="str">
        <f t="shared" si="27"/>
        <v/>
      </c>
      <c r="L118" s="177"/>
      <c r="M118" s="177"/>
      <c r="N118" s="177"/>
      <c r="O118" s="177"/>
      <c r="P118" s="177"/>
      <c r="Q118" s="144"/>
      <c r="R118" s="143" t="str">
        <f t="shared" si="31"/>
        <v/>
      </c>
      <c r="S118" s="142" t="str">
        <f t="shared" si="32"/>
        <v/>
      </c>
      <c r="T118" s="374" t="str">
        <f t="shared" si="28"/>
        <v/>
      </c>
      <c r="U118" s="372"/>
      <c r="V118" s="373"/>
      <c r="W118" s="374" t="str">
        <f t="shared" si="34"/>
        <v/>
      </c>
      <c r="X118" s="375"/>
      <c r="Y118" s="375"/>
      <c r="Z118" s="375"/>
      <c r="AA118" s="376"/>
      <c r="AB118" s="145" t="str">
        <f t="shared" si="29"/>
        <v/>
      </c>
      <c r="AC118" s="341" t="str">
        <f t="shared" si="35"/>
        <v/>
      </c>
      <c r="AD118" s="324"/>
      <c r="AE118" s="342"/>
      <c r="AF118" s="180"/>
      <c r="AG118" s="225"/>
      <c r="AH118" s="236" t="str">
        <f t="shared" si="33"/>
        <v/>
      </c>
    </row>
    <row r="119" spans="1:34" ht="15" customHeight="1">
      <c r="A119" s="43">
        <v>110</v>
      </c>
      <c r="B119" s="141">
        <v>110</v>
      </c>
      <c r="C119" s="142" t="str">
        <f t="shared" si="25"/>
        <v/>
      </c>
      <c r="D119" s="371" t="str">
        <f t="shared" si="30"/>
        <v/>
      </c>
      <c r="E119" s="372"/>
      <c r="F119" s="372"/>
      <c r="G119" s="372"/>
      <c r="H119" s="372"/>
      <c r="I119" s="372"/>
      <c r="J119" s="373"/>
      <c r="K119" s="176" t="str">
        <f t="shared" si="27"/>
        <v/>
      </c>
      <c r="L119" s="177"/>
      <c r="M119" s="177"/>
      <c r="N119" s="177"/>
      <c r="O119" s="177"/>
      <c r="P119" s="177"/>
      <c r="Q119" s="144"/>
      <c r="R119" s="143" t="str">
        <f t="shared" si="31"/>
        <v/>
      </c>
      <c r="S119" s="142" t="str">
        <f t="shared" si="32"/>
        <v/>
      </c>
      <c r="T119" s="374" t="str">
        <f t="shared" si="28"/>
        <v/>
      </c>
      <c r="U119" s="372"/>
      <c r="V119" s="373"/>
      <c r="W119" s="374" t="str">
        <f t="shared" si="34"/>
        <v/>
      </c>
      <c r="X119" s="375"/>
      <c r="Y119" s="375"/>
      <c r="Z119" s="375"/>
      <c r="AA119" s="376"/>
      <c r="AB119" s="145" t="str">
        <f t="shared" si="29"/>
        <v/>
      </c>
      <c r="AC119" s="341" t="str">
        <f t="shared" si="35"/>
        <v/>
      </c>
      <c r="AD119" s="324"/>
      <c r="AE119" s="342"/>
      <c r="AF119" s="180"/>
      <c r="AG119" s="225"/>
      <c r="AH119" s="236" t="str">
        <f t="shared" si="33"/>
        <v/>
      </c>
    </row>
    <row r="120" spans="1:34" ht="15" customHeight="1">
      <c r="A120" s="43">
        <v>111</v>
      </c>
      <c r="B120" s="141">
        <v>111</v>
      </c>
      <c r="C120" s="142" t="str">
        <f t="shared" si="25"/>
        <v/>
      </c>
      <c r="D120" s="371" t="str">
        <f t="shared" si="30"/>
        <v/>
      </c>
      <c r="E120" s="372"/>
      <c r="F120" s="372"/>
      <c r="G120" s="372"/>
      <c r="H120" s="372"/>
      <c r="I120" s="372"/>
      <c r="J120" s="373"/>
      <c r="K120" s="176" t="str">
        <f t="shared" si="27"/>
        <v/>
      </c>
      <c r="L120" s="177"/>
      <c r="M120" s="177"/>
      <c r="N120" s="177"/>
      <c r="O120" s="177"/>
      <c r="P120" s="177"/>
      <c r="Q120" s="144"/>
      <c r="R120" s="143" t="str">
        <f t="shared" si="31"/>
        <v/>
      </c>
      <c r="S120" s="142" t="str">
        <f t="shared" si="32"/>
        <v/>
      </c>
      <c r="T120" s="374" t="str">
        <f t="shared" si="28"/>
        <v/>
      </c>
      <c r="U120" s="372"/>
      <c r="V120" s="373"/>
      <c r="W120" s="374" t="str">
        <f t="shared" si="34"/>
        <v/>
      </c>
      <c r="X120" s="375"/>
      <c r="Y120" s="375"/>
      <c r="Z120" s="375"/>
      <c r="AA120" s="376"/>
      <c r="AB120" s="145" t="str">
        <f t="shared" si="29"/>
        <v/>
      </c>
      <c r="AC120" s="341" t="str">
        <f t="shared" si="35"/>
        <v/>
      </c>
      <c r="AD120" s="324"/>
      <c r="AE120" s="342"/>
      <c r="AF120" s="180"/>
      <c r="AG120" s="225"/>
      <c r="AH120" s="236" t="str">
        <f t="shared" si="33"/>
        <v/>
      </c>
    </row>
    <row r="121" spans="1:34" ht="15" customHeight="1">
      <c r="A121" s="43">
        <v>112</v>
      </c>
      <c r="B121" s="141">
        <v>112</v>
      </c>
      <c r="C121" s="142" t="str">
        <f t="shared" si="25"/>
        <v/>
      </c>
      <c r="D121" s="371" t="str">
        <f t="shared" si="30"/>
        <v/>
      </c>
      <c r="E121" s="372"/>
      <c r="F121" s="372"/>
      <c r="G121" s="372"/>
      <c r="H121" s="372"/>
      <c r="I121" s="372"/>
      <c r="J121" s="373"/>
      <c r="K121" s="176" t="str">
        <f t="shared" si="27"/>
        <v/>
      </c>
      <c r="L121" s="177"/>
      <c r="M121" s="177"/>
      <c r="N121" s="177"/>
      <c r="O121" s="177"/>
      <c r="P121" s="177"/>
      <c r="Q121" s="144"/>
      <c r="R121" s="143" t="str">
        <f t="shared" si="31"/>
        <v/>
      </c>
      <c r="S121" s="142" t="str">
        <f t="shared" si="32"/>
        <v/>
      </c>
      <c r="T121" s="374" t="str">
        <f t="shared" si="28"/>
        <v/>
      </c>
      <c r="U121" s="372"/>
      <c r="V121" s="373"/>
      <c r="W121" s="374" t="str">
        <f t="shared" si="34"/>
        <v/>
      </c>
      <c r="X121" s="375"/>
      <c r="Y121" s="375"/>
      <c r="Z121" s="375"/>
      <c r="AA121" s="376"/>
      <c r="AB121" s="145" t="str">
        <f t="shared" si="29"/>
        <v/>
      </c>
      <c r="AC121" s="341" t="str">
        <f t="shared" si="35"/>
        <v/>
      </c>
      <c r="AD121" s="324"/>
      <c r="AE121" s="342"/>
      <c r="AF121" s="180"/>
      <c r="AG121" s="225"/>
      <c r="AH121" s="236" t="str">
        <f t="shared" si="33"/>
        <v/>
      </c>
    </row>
    <row r="122" spans="1:34" ht="15" customHeight="1">
      <c r="A122" s="43">
        <v>113</v>
      </c>
      <c r="B122" s="141">
        <v>113</v>
      </c>
      <c r="C122" s="142" t="str">
        <f t="shared" si="25"/>
        <v/>
      </c>
      <c r="D122" s="371" t="str">
        <f t="shared" si="30"/>
        <v/>
      </c>
      <c r="E122" s="372"/>
      <c r="F122" s="372"/>
      <c r="G122" s="372"/>
      <c r="H122" s="372"/>
      <c r="I122" s="372"/>
      <c r="J122" s="373"/>
      <c r="K122" s="176" t="str">
        <f t="shared" si="27"/>
        <v/>
      </c>
      <c r="L122" s="177"/>
      <c r="M122" s="177"/>
      <c r="N122" s="177"/>
      <c r="O122" s="177"/>
      <c r="P122" s="177"/>
      <c r="Q122" s="144"/>
      <c r="R122" s="143" t="str">
        <f t="shared" si="31"/>
        <v/>
      </c>
      <c r="S122" s="142" t="str">
        <f t="shared" si="32"/>
        <v/>
      </c>
      <c r="T122" s="374" t="str">
        <f t="shared" si="28"/>
        <v/>
      </c>
      <c r="U122" s="372"/>
      <c r="V122" s="373"/>
      <c r="W122" s="374" t="str">
        <f t="shared" si="34"/>
        <v/>
      </c>
      <c r="X122" s="375"/>
      <c r="Y122" s="375"/>
      <c r="Z122" s="375"/>
      <c r="AA122" s="376"/>
      <c r="AB122" s="145" t="str">
        <f t="shared" si="29"/>
        <v/>
      </c>
      <c r="AC122" s="341" t="str">
        <f t="shared" si="35"/>
        <v/>
      </c>
      <c r="AD122" s="324"/>
      <c r="AE122" s="342"/>
      <c r="AF122" s="180"/>
      <c r="AG122" s="225"/>
      <c r="AH122" s="236" t="str">
        <f t="shared" si="33"/>
        <v/>
      </c>
    </row>
    <row r="123" spans="1:34" ht="15" customHeight="1">
      <c r="A123" s="43">
        <v>114</v>
      </c>
      <c r="B123" s="141">
        <v>114</v>
      </c>
      <c r="C123" s="142" t="str">
        <f t="shared" si="25"/>
        <v/>
      </c>
      <c r="D123" s="371" t="str">
        <f t="shared" si="30"/>
        <v/>
      </c>
      <c r="E123" s="372"/>
      <c r="F123" s="372"/>
      <c r="G123" s="372"/>
      <c r="H123" s="372"/>
      <c r="I123" s="372"/>
      <c r="J123" s="373"/>
      <c r="K123" s="176" t="str">
        <f t="shared" si="27"/>
        <v/>
      </c>
      <c r="L123" s="177"/>
      <c r="M123" s="177"/>
      <c r="N123" s="177"/>
      <c r="O123" s="177"/>
      <c r="P123" s="177"/>
      <c r="Q123" s="144"/>
      <c r="R123" s="143" t="str">
        <f t="shared" si="31"/>
        <v/>
      </c>
      <c r="S123" s="142" t="str">
        <f t="shared" si="32"/>
        <v/>
      </c>
      <c r="T123" s="374" t="str">
        <f t="shared" si="28"/>
        <v/>
      </c>
      <c r="U123" s="372"/>
      <c r="V123" s="373"/>
      <c r="W123" s="374" t="str">
        <f t="shared" si="34"/>
        <v/>
      </c>
      <c r="X123" s="375"/>
      <c r="Y123" s="375"/>
      <c r="Z123" s="375"/>
      <c r="AA123" s="376"/>
      <c r="AB123" s="145" t="str">
        <f t="shared" si="29"/>
        <v/>
      </c>
      <c r="AC123" s="341" t="str">
        <f t="shared" si="35"/>
        <v/>
      </c>
      <c r="AD123" s="324"/>
      <c r="AE123" s="342"/>
      <c r="AF123" s="180"/>
      <c r="AG123" s="225"/>
      <c r="AH123" s="236" t="str">
        <f t="shared" si="33"/>
        <v/>
      </c>
    </row>
    <row r="124" spans="1:34" ht="15" customHeight="1">
      <c r="A124" s="43">
        <v>115</v>
      </c>
      <c r="B124" s="141">
        <v>115</v>
      </c>
      <c r="C124" s="142" t="str">
        <f t="shared" si="25"/>
        <v/>
      </c>
      <c r="D124" s="371" t="str">
        <f t="shared" si="30"/>
        <v/>
      </c>
      <c r="E124" s="372"/>
      <c r="F124" s="372"/>
      <c r="G124" s="372"/>
      <c r="H124" s="372"/>
      <c r="I124" s="372"/>
      <c r="J124" s="373"/>
      <c r="K124" s="176" t="str">
        <f t="shared" si="27"/>
        <v/>
      </c>
      <c r="L124" s="177"/>
      <c r="M124" s="177"/>
      <c r="N124" s="177"/>
      <c r="O124" s="177"/>
      <c r="P124" s="177"/>
      <c r="Q124" s="144"/>
      <c r="R124" s="143" t="str">
        <f t="shared" si="31"/>
        <v/>
      </c>
      <c r="S124" s="142" t="str">
        <f t="shared" si="32"/>
        <v/>
      </c>
      <c r="T124" s="374" t="str">
        <f t="shared" si="28"/>
        <v/>
      </c>
      <c r="U124" s="372"/>
      <c r="V124" s="373"/>
      <c r="W124" s="374" t="str">
        <f t="shared" si="34"/>
        <v/>
      </c>
      <c r="X124" s="375"/>
      <c r="Y124" s="375"/>
      <c r="Z124" s="375"/>
      <c r="AA124" s="376"/>
      <c r="AB124" s="145" t="str">
        <f t="shared" si="29"/>
        <v/>
      </c>
      <c r="AC124" s="341" t="str">
        <f t="shared" si="35"/>
        <v/>
      </c>
      <c r="AD124" s="324"/>
      <c r="AE124" s="342"/>
      <c r="AF124" s="180"/>
      <c r="AG124" s="225"/>
      <c r="AH124" s="236" t="str">
        <f t="shared" si="33"/>
        <v/>
      </c>
    </row>
    <row r="125" spans="1:34" ht="15" customHeight="1">
      <c r="A125" s="43">
        <v>116</v>
      </c>
      <c r="B125" s="141">
        <v>116</v>
      </c>
      <c r="C125" s="142" t="str">
        <f t="shared" si="25"/>
        <v/>
      </c>
      <c r="D125" s="371" t="str">
        <f t="shared" si="30"/>
        <v/>
      </c>
      <c r="E125" s="372"/>
      <c r="F125" s="372"/>
      <c r="G125" s="372"/>
      <c r="H125" s="372"/>
      <c r="I125" s="372"/>
      <c r="J125" s="373"/>
      <c r="K125" s="176" t="str">
        <f t="shared" si="27"/>
        <v/>
      </c>
      <c r="L125" s="177"/>
      <c r="M125" s="177"/>
      <c r="N125" s="177"/>
      <c r="O125" s="177"/>
      <c r="P125" s="177"/>
      <c r="Q125" s="144"/>
      <c r="R125" s="143" t="str">
        <f t="shared" si="31"/>
        <v/>
      </c>
      <c r="S125" s="142" t="str">
        <f t="shared" si="32"/>
        <v/>
      </c>
      <c r="T125" s="374" t="str">
        <f t="shared" si="28"/>
        <v/>
      </c>
      <c r="U125" s="372"/>
      <c r="V125" s="373"/>
      <c r="W125" s="374" t="str">
        <f t="shared" si="34"/>
        <v/>
      </c>
      <c r="X125" s="375"/>
      <c r="Y125" s="375"/>
      <c r="Z125" s="375"/>
      <c r="AA125" s="376"/>
      <c r="AB125" s="145" t="str">
        <f t="shared" si="29"/>
        <v/>
      </c>
      <c r="AC125" s="341" t="str">
        <f t="shared" si="35"/>
        <v/>
      </c>
      <c r="AD125" s="324"/>
      <c r="AE125" s="342"/>
      <c r="AF125" s="180"/>
      <c r="AG125" s="225"/>
      <c r="AH125" s="236" t="str">
        <f t="shared" si="33"/>
        <v/>
      </c>
    </row>
    <row r="126" spans="1:34" ht="15" customHeight="1">
      <c r="A126" s="43">
        <v>117</v>
      </c>
      <c r="B126" s="141">
        <v>117</v>
      </c>
      <c r="C126" s="142" t="str">
        <f t="shared" si="25"/>
        <v/>
      </c>
      <c r="D126" s="371" t="str">
        <f t="shared" si="30"/>
        <v/>
      </c>
      <c r="E126" s="372"/>
      <c r="F126" s="372"/>
      <c r="G126" s="372"/>
      <c r="H126" s="372"/>
      <c r="I126" s="372"/>
      <c r="J126" s="373"/>
      <c r="K126" s="176" t="str">
        <f t="shared" si="27"/>
        <v/>
      </c>
      <c r="L126" s="177"/>
      <c r="M126" s="177"/>
      <c r="N126" s="177"/>
      <c r="O126" s="177"/>
      <c r="P126" s="177"/>
      <c r="Q126" s="144"/>
      <c r="R126" s="143" t="str">
        <f t="shared" si="31"/>
        <v/>
      </c>
      <c r="S126" s="142" t="str">
        <f t="shared" si="32"/>
        <v/>
      </c>
      <c r="T126" s="374" t="str">
        <f t="shared" si="28"/>
        <v/>
      </c>
      <c r="U126" s="372"/>
      <c r="V126" s="373"/>
      <c r="W126" s="374" t="str">
        <f t="shared" si="34"/>
        <v/>
      </c>
      <c r="X126" s="375"/>
      <c r="Y126" s="375"/>
      <c r="Z126" s="375"/>
      <c r="AA126" s="376"/>
      <c r="AB126" s="145" t="str">
        <f t="shared" si="29"/>
        <v/>
      </c>
      <c r="AC126" s="341" t="str">
        <f t="shared" si="35"/>
        <v/>
      </c>
      <c r="AD126" s="324"/>
      <c r="AE126" s="342"/>
      <c r="AF126" s="180"/>
      <c r="AG126" s="225"/>
      <c r="AH126" s="236" t="str">
        <f t="shared" si="33"/>
        <v/>
      </c>
    </row>
    <row r="127" spans="1:34" ht="15" customHeight="1">
      <c r="A127" s="43">
        <v>118</v>
      </c>
      <c r="B127" s="141">
        <v>118</v>
      </c>
      <c r="C127" s="142" t="str">
        <f t="shared" si="25"/>
        <v/>
      </c>
      <c r="D127" s="371" t="str">
        <f t="shared" si="30"/>
        <v/>
      </c>
      <c r="E127" s="372"/>
      <c r="F127" s="372"/>
      <c r="G127" s="372"/>
      <c r="H127" s="372"/>
      <c r="I127" s="372"/>
      <c r="J127" s="373"/>
      <c r="K127" s="176" t="str">
        <f t="shared" si="27"/>
        <v/>
      </c>
      <c r="L127" s="177"/>
      <c r="M127" s="177"/>
      <c r="N127" s="177"/>
      <c r="O127" s="177"/>
      <c r="P127" s="177"/>
      <c r="Q127" s="144"/>
      <c r="R127" s="143" t="str">
        <f t="shared" si="31"/>
        <v/>
      </c>
      <c r="S127" s="142" t="str">
        <f t="shared" si="32"/>
        <v/>
      </c>
      <c r="T127" s="374" t="str">
        <f t="shared" si="28"/>
        <v/>
      </c>
      <c r="U127" s="372"/>
      <c r="V127" s="373"/>
      <c r="W127" s="374" t="str">
        <f t="shared" si="34"/>
        <v/>
      </c>
      <c r="X127" s="375"/>
      <c r="Y127" s="375"/>
      <c r="Z127" s="375"/>
      <c r="AA127" s="376"/>
      <c r="AB127" s="145" t="str">
        <f t="shared" si="29"/>
        <v/>
      </c>
      <c r="AC127" s="341" t="str">
        <f t="shared" si="35"/>
        <v/>
      </c>
      <c r="AD127" s="324"/>
      <c r="AE127" s="342"/>
      <c r="AF127" s="180"/>
      <c r="AG127" s="225"/>
      <c r="AH127" s="236" t="str">
        <f t="shared" si="33"/>
        <v/>
      </c>
    </row>
    <row r="128" spans="1:34" ht="15" customHeight="1">
      <c r="A128" s="43">
        <v>119</v>
      </c>
      <c r="B128" s="141">
        <v>119</v>
      </c>
      <c r="C128" s="142" t="str">
        <f t="shared" si="25"/>
        <v/>
      </c>
      <c r="D128" s="371" t="str">
        <f t="shared" si="30"/>
        <v/>
      </c>
      <c r="E128" s="372"/>
      <c r="F128" s="372"/>
      <c r="G128" s="372"/>
      <c r="H128" s="372"/>
      <c r="I128" s="372"/>
      <c r="J128" s="373"/>
      <c r="K128" s="176" t="str">
        <f t="shared" si="27"/>
        <v/>
      </c>
      <c r="L128" s="177"/>
      <c r="M128" s="177"/>
      <c r="N128" s="177"/>
      <c r="O128" s="177"/>
      <c r="P128" s="177"/>
      <c r="Q128" s="144"/>
      <c r="R128" s="143" t="str">
        <f t="shared" si="31"/>
        <v/>
      </c>
      <c r="S128" s="142" t="str">
        <f t="shared" si="32"/>
        <v/>
      </c>
      <c r="T128" s="374" t="str">
        <f t="shared" si="28"/>
        <v/>
      </c>
      <c r="U128" s="372"/>
      <c r="V128" s="373"/>
      <c r="W128" s="374" t="str">
        <f t="shared" si="34"/>
        <v/>
      </c>
      <c r="X128" s="375"/>
      <c r="Y128" s="375"/>
      <c r="Z128" s="375"/>
      <c r="AA128" s="376"/>
      <c r="AB128" s="145" t="str">
        <f t="shared" si="29"/>
        <v/>
      </c>
      <c r="AC128" s="341" t="str">
        <f t="shared" si="35"/>
        <v/>
      </c>
      <c r="AD128" s="324"/>
      <c r="AE128" s="342"/>
      <c r="AF128" s="180"/>
      <c r="AG128" s="225"/>
      <c r="AH128" s="236" t="str">
        <f t="shared" si="33"/>
        <v/>
      </c>
    </row>
    <row r="129" spans="1:34" ht="15" customHeight="1">
      <c r="A129" s="43">
        <v>120</v>
      </c>
      <c r="B129" s="141">
        <v>120</v>
      </c>
      <c r="C129" s="142" t="str">
        <f t="shared" si="25"/>
        <v/>
      </c>
      <c r="D129" s="371" t="str">
        <f t="shared" si="30"/>
        <v/>
      </c>
      <c r="E129" s="372"/>
      <c r="F129" s="372"/>
      <c r="G129" s="372"/>
      <c r="H129" s="372"/>
      <c r="I129" s="372"/>
      <c r="J129" s="373"/>
      <c r="K129" s="176" t="str">
        <f t="shared" si="27"/>
        <v/>
      </c>
      <c r="L129" s="177"/>
      <c r="M129" s="177"/>
      <c r="N129" s="177"/>
      <c r="O129" s="177"/>
      <c r="P129" s="177"/>
      <c r="Q129" s="144"/>
      <c r="R129" s="143" t="str">
        <f t="shared" si="31"/>
        <v/>
      </c>
      <c r="S129" s="142" t="str">
        <f t="shared" si="32"/>
        <v/>
      </c>
      <c r="T129" s="374" t="str">
        <f t="shared" si="28"/>
        <v/>
      </c>
      <c r="U129" s="372"/>
      <c r="V129" s="373"/>
      <c r="W129" s="374" t="str">
        <f t="shared" si="34"/>
        <v/>
      </c>
      <c r="X129" s="375"/>
      <c r="Y129" s="375"/>
      <c r="Z129" s="375"/>
      <c r="AA129" s="376"/>
      <c r="AB129" s="145" t="str">
        <f t="shared" si="29"/>
        <v/>
      </c>
      <c r="AC129" s="341" t="str">
        <f t="shared" si="35"/>
        <v/>
      </c>
      <c r="AD129" s="324"/>
      <c r="AE129" s="342"/>
      <c r="AF129" s="180"/>
      <c r="AG129" s="225"/>
      <c r="AH129" s="236" t="str">
        <f t="shared" si="33"/>
        <v/>
      </c>
    </row>
    <row r="130" spans="1:34" ht="15" customHeight="1">
      <c r="A130" s="43">
        <v>121</v>
      </c>
      <c r="B130" s="141">
        <v>121</v>
      </c>
      <c r="C130" s="142" t="str">
        <f t="shared" si="25"/>
        <v/>
      </c>
      <c r="D130" s="371" t="str">
        <f t="shared" si="30"/>
        <v/>
      </c>
      <c r="E130" s="372"/>
      <c r="F130" s="372"/>
      <c r="G130" s="372"/>
      <c r="H130" s="372"/>
      <c r="I130" s="372"/>
      <c r="J130" s="373"/>
      <c r="K130" s="176" t="str">
        <f t="shared" si="27"/>
        <v/>
      </c>
      <c r="L130" s="177"/>
      <c r="M130" s="177"/>
      <c r="N130" s="177"/>
      <c r="O130" s="177"/>
      <c r="P130" s="177"/>
      <c r="Q130" s="144"/>
      <c r="R130" s="143" t="str">
        <f t="shared" si="31"/>
        <v/>
      </c>
      <c r="S130" s="142" t="str">
        <f t="shared" si="32"/>
        <v/>
      </c>
      <c r="T130" s="374" t="str">
        <f t="shared" si="28"/>
        <v/>
      </c>
      <c r="U130" s="372"/>
      <c r="V130" s="373"/>
      <c r="W130" s="374" t="str">
        <f t="shared" si="34"/>
        <v/>
      </c>
      <c r="X130" s="375"/>
      <c r="Y130" s="375"/>
      <c r="Z130" s="375"/>
      <c r="AA130" s="376"/>
      <c r="AB130" s="145" t="str">
        <f t="shared" si="29"/>
        <v/>
      </c>
      <c r="AC130" s="341" t="str">
        <f t="shared" si="35"/>
        <v/>
      </c>
      <c r="AD130" s="324"/>
      <c r="AE130" s="342"/>
      <c r="AF130" s="180"/>
      <c r="AG130" s="225"/>
      <c r="AH130" s="236" t="str">
        <f t="shared" si="33"/>
        <v/>
      </c>
    </row>
    <row r="131" spans="1:34" ht="15" customHeight="1">
      <c r="A131" s="43">
        <v>122</v>
      </c>
      <c r="B131" s="141">
        <v>122</v>
      </c>
      <c r="C131" s="142" t="str">
        <f t="shared" si="25"/>
        <v/>
      </c>
      <c r="D131" s="371" t="str">
        <f t="shared" si="30"/>
        <v/>
      </c>
      <c r="E131" s="372"/>
      <c r="F131" s="372"/>
      <c r="G131" s="372"/>
      <c r="H131" s="372"/>
      <c r="I131" s="372"/>
      <c r="J131" s="373"/>
      <c r="K131" s="176" t="str">
        <f t="shared" si="27"/>
        <v/>
      </c>
      <c r="L131" s="177"/>
      <c r="M131" s="177"/>
      <c r="N131" s="177"/>
      <c r="O131" s="177"/>
      <c r="P131" s="177"/>
      <c r="Q131" s="144"/>
      <c r="R131" s="143" t="str">
        <f t="shared" si="31"/>
        <v/>
      </c>
      <c r="S131" s="142" t="str">
        <f t="shared" si="32"/>
        <v/>
      </c>
      <c r="T131" s="374" t="str">
        <f t="shared" si="28"/>
        <v/>
      </c>
      <c r="U131" s="372"/>
      <c r="V131" s="373"/>
      <c r="W131" s="374" t="str">
        <f t="shared" si="34"/>
        <v/>
      </c>
      <c r="X131" s="375"/>
      <c r="Y131" s="375"/>
      <c r="Z131" s="375"/>
      <c r="AA131" s="376"/>
      <c r="AB131" s="145" t="str">
        <f t="shared" si="29"/>
        <v/>
      </c>
      <c r="AC131" s="341" t="str">
        <f t="shared" si="35"/>
        <v/>
      </c>
      <c r="AD131" s="324"/>
      <c r="AE131" s="342"/>
      <c r="AF131" s="180"/>
      <c r="AG131" s="225"/>
      <c r="AH131" s="236" t="str">
        <f t="shared" si="33"/>
        <v/>
      </c>
    </row>
    <row r="132" spans="1:34" ht="15" customHeight="1">
      <c r="A132" s="43">
        <v>123</v>
      </c>
      <c r="B132" s="141">
        <v>123</v>
      </c>
      <c r="C132" s="142" t="str">
        <f t="shared" si="25"/>
        <v/>
      </c>
      <c r="D132" s="371" t="str">
        <f t="shared" si="30"/>
        <v/>
      </c>
      <c r="E132" s="372"/>
      <c r="F132" s="372"/>
      <c r="G132" s="372"/>
      <c r="H132" s="372"/>
      <c r="I132" s="372"/>
      <c r="J132" s="373"/>
      <c r="K132" s="176" t="str">
        <f t="shared" si="27"/>
        <v/>
      </c>
      <c r="L132" s="177"/>
      <c r="M132" s="177"/>
      <c r="N132" s="177"/>
      <c r="O132" s="177"/>
      <c r="P132" s="177"/>
      <c r="Q132" s="144"/>
      <c r="R132" s="143" t="str">
        <f t="shared" si="31"/>
        <v/>
      </c>
      <c r="S132" s="142" t="str">
        <f t="shared" si="32"/>
        <v/>
      </c>
      <c r="T132" s="374" t="str">
        <f t="shared" si="28"/>
        <v/>
      </c>
      <c r="U132" s="372"/>
      <c r="V132" s="373"/>
      <c r="W132" s="374" t="str">
        <f t="shared" si="34"/>
        <v/>
      </c>
      <c r="X132" s="375"/>
      <c r="Y132" s="375"/>
      <c r="Z132" s="375"/>
      <c r="AA132" s="376"/>
      <c r="AB132" s="145" t="str">
        <f t="shared" si="29"/>
        <v/>
      </c>
      <c r="AC132" s="341" t="str">
        <f t="shared" si="35"/>
        <v/>
      </c>
      <c r="AD132" s="324"/>
      <c r="AE132" s="342"/>
      <c r="AF132" s="180"/>
      <c r="AG132" s="225"/>
      <c r="AH132" s="236" t="str">
        <f t="shared" si="33"/>
        <v/>
      </c>
    </row>
    <row r="133" spans="1:34" ht="15" customHeight="1">
      <c r="A133" s="43">
        <v>124</v>
      </c>
      <c r="B133" s="141">
        <v>124</v>
      </c>
      <c r="C133" s="142" t="str">
        <f t="shared" si="25"/>
        <v/>
      </c>
      <c r="D133" s="371" t="str">
        <f t="shared" si="30"/>
        <v/>
      </c>
      <c r="E133" s="372"/>
      <c r="F133" s="372"/>
      <c r="G133" s="372"/>
      <c r="H133" s="372"/>
      <c r="I133" s="372"/>
      <c r="J133" s="373"/>
      <c r="K133" s="176" t="str">
        <f t="shared" si="27"/>
        <v/>
      </c>
      <c r="L133" s="177"/>
      <c r="M133" s="177"/>
      <c r="N133" s="177"/>
      <c r="O133" s="177"/>
      <c r="P133" s="177"/>
      <c r="Q133" s="144"/>
      <c r="R133" s="143" t="str">
        <f t="shared" ref="R133:R164" si="36">IF(IF(ISNA(VLOOKUP(A133,StartList,7,FALSE)),"",VLOOKUP(A133,StartList,7,FALSE))=0,"",IF(ISNA(VLOOKUP(A133,StartList,7,FALSE)),"",VLOOKUP(A133,StartList,7,FALSE)))</f>
        <v/>
      </c>
      <c r="S133" s="142" t="str">
        <f t="shared" ref="S133:S164" si="37">IF(IF(ISNA(VLOOKUP(A133,StartList,6,FALSE)),"",VLOOKUP(A133,StartList,6,FALSE))=0,"",IF(ISNA(VLOOKUP(A133,StartList,6,FALSE)),"",VLOOKUP(A133,StartList,6,FALSE)))</f>
        <v/>
      </c>
      <c r="T133" s="374" t="str">
        <f t="shared" si="28"/>
        <v/>
      </c>
      <c r="U133" s="372"/>
      <c r="V133" s="373"/>
      <c r="W133" s="374" t="str">
        <f t="shared" si="34"/>
        <v/>
      </c>
      <c r="X133" s="375"/>
      <c r="Y133" s="375"/>
      <c r="Z133" s="375"/>
      <c r="AA133" s="376"/>
      <c r="AB133" s="145" t="str">
        <f t="shared" si="29"/>
        <v/>
      </c>
      <c r="AC133" s="341" t="str">
        <f t="shared" si="35"/>
        <v/>
      </c>
      <c r="AD133" s="324"/>
      <c r="AE133" s="342"/>
      <c r="AF133" s="180"/>
      <c r="AG133" s="225"/>
      <c r="AH133" s="236" t="str">
        <f t="shared" ref="AH133:AH164" si="38">IF(T133="","",(T133-$T$10)/$T$10)</f>
        <v/>
      </c>
    </row>
    <row r="134" spans="1:34" ht="15" customHeight="1">
      <c r="A134" s="43">
        <v>125</v>
      </c>
      <c r="B134" s="141">
        <v>125</v>
      </c>
      <c r="C134" s="142" t="str">
        <f t="shared" si="25"/>
        <v/>
      </c>
      <c r="D134" s="371" t="str">
        <f t="shared" si="30"/>
        <v/>
      </c>
      <c r="E134" s="372"/>
      <c r="F134" s="372"/>
      <c r="G134" s="372"/>
      <c r="H134" s="372"/>
      <c r="I134" s="372"/>
      <c r="J134" s="373"/>
      <c r="K134" s="176" t="str">
        <f t="shared" si="27"/>
        <v/>
      </c>
      <c r="L134" s="177"/>
      <c r="M134" s="177"/>
      <c r="N134" s="177"/>
      <c r="O134" s="177"/>
      <c r="P134" s="177"/>
      <c r="Q134" s="144"/>
      <c r="R134" s="143" t="str">
        <f t="shared" si="36"/>
        <v/>
      </c>
      <c r="S134" s="142" t="str">
        <f t="shared" si="37"/>
        <v/>
      </c>
      <c r="T134" s="374" t="str">
        <f t="shared" si="28"/>
        <v/>
      </c>
      <c r="U134" s="372"/>
      <c r="V134" s="373"/>
      <c r="W134" s="374" t="str">
        <f t="shared" si="34"/>
        <v/>
      </c>
      <c r="X134" s="375"/>
      <c r="Y134" s="375"/>
      <c r="Z134" s="375"/>
      <c r="AA134" s="376"/>
      <c r="AB134" s="145" t="str">
        <f t="shared" si="29"/>
        <v/>
      </c>
      <c r="AC134" s="341" t="str">
        <f t="shared" si="35"/>
        <v/>
      </c>
      <c r="AD134" s="324"/>
      <c r="AE134" s="342"/>
      <c r="AF134" s="180"/>
      <c r="AG134" s="225"/>
      <c r="AH134" s="236" t="str">
        <f t="shared" si="38"/>
        <v/>
      </c>
    </row>
    <row r="135" spans="1:34" ht="15" customHeight="1">
      <c r="A135" s="43">
        <v>126</v>
      </c>
      <c r="B135" s="141">
        <v>126</v>
      </c>
      <c r="C135" s="142" t="str">
        <f t="shared" si="25"/>
        <v/>
      </c>
      <c r="D135" s="371" t="str">
        <f t="shared" si="30"/>
        <v/>
      </c>
      <c r="E135" s="372"/>
      <c r="F135" s="372"/>
      <c r="G135" s="372"/>
      <c r="H135" s="372"/>
      <c r="I135" s="372"/>
      <c r="J135" s="373"/>
      <c r="K135" s="176" t="str">
        <f t="shared" si="27"/>
        <v/>
      </c>
      <c r="L135" s="177"/>
      <c r="M135" s="177"/>
      <c r="N135" s="177"/>
      <c r="O135" s="177"/>
      <c r="P135" s="177"/>
      <c r="Q135" s="144"/>
      <c r="R135" s="143" t="str">
        <f t="shared" si="36"/>
        <v/>
      </c>
      <c r="S135" s="142" t="str">
        <f t="shared" si="37"/>
        <v/>
      </c>
      <c r="T135" s="374" t="str">
        <f t="shared" si="28"/>
        <v/>
      </c>
      <c r="U135" s="372"/>
      <c r="V135" s="373"/>
      <c r="W135" s="374" t="str">
        <f t="shared" si="34"/>
        <v/>
      </c>
      <c r="X135" s="375"/>
      <c r="Y135" s="375"/>
      <c r="Z135" s="375"/>
      <c r="AA135" s="376"/>
      <c r="AB135" s="145" t="str">
        <f t="shared" si="29"/>
        <v/>
      </c>
      <c r="AC135" s="341" t="str">
        <f t="shared" si="35"/>
        <v/>
      </c>
      <c r="AD135" s="324"/>
      <c r="AE135" s="342"/>
      <c r="AF135" s="180"/>
      <c r="AG135" s="225"/>
      <c r="AH135" s="236" t="str">
        <f t="shared" si="38"/>
        <v/>
      </c>
    </row>
    <row r="136" spans="1:34" ht="15" customHeight="1">
      <c r="A136" s="43">
        <v>127</v>
      </c>
      <c r="B136" s="141">
        <v>127</v>
      </c>
      <c r="C136" s="142" t="str">
        <f t="shared" si="25"/>
        <v/>
      </c>
      <c r="D136" s="371" t="str">
        <f t="shared" si="30"/>
        <v/>
      </c>
      <c r="E136" s="372"/>
      <c r="F136" s="372"/>
      <c r="G136" s="372"/>
      <c r="H136" s="372"/>
      <c r="I136" s="372"/>
      <c r="J136" s="373"/>
      <c r="K136" s="176" t="str">
        <f t="shared" si="27"/>
        <v/>
      </c>
      <c r="L136" s="177"/>
      <c r="M136" s="177"/>
      <c r="N136" s="177"/>
      <c r="O136" s="177"/>
      <c r="P136" s="177"/>
      <c r="Q136" s="144"/>
      <c r="R136" s="143" t="str">
        <f t="shared" si="36"/>
        <v/>
      </c>
      <c r="S136" s="142" t="str">
        <f t="shared" si="37"/>
        <v/>
      </c>
      <c r="T136" s="374" t="str">
        <f t="shared" si="28"/>
        <v/>
      </c>
      <c r="U136" s="372"/>
      <c r="V136" s="373"/>
      <c r="W136" s="374" t="str">
        <f t="shared" si="34"/>
        <v/>
      </c>
      <c r="X136" s="375"/>
      <c r="Y136" s="375"/>
      <c r="Z136" s="375"/>
      <c r="AA136" s="376"/>
      <c r="AB136" s="145" t="str">
        <f t="shared" si="29"/>
        <v/>
      </c>
      <c r="AC136" s="341" t="str">
        <f t="shared" si="35"/>
        <v/>
      </c>
      <c r="AD136" s="324"/>
      <c r="AE136" s="342"/>
      <c r="AF136" s="180"/>
      <c r="AG136" s="225"/>
      <c r="AH136" s="236" t="str">
        <f t="shared" si="38"/>
        <v/>
      </c>
    </row>
    <row r="137" spans="1:34" ht="15" customHeight="1">
      <c r="A137" s="43">
        <v>128</v>
      </c>
      <c r="B137" s="141">
        <v>128</v>
      </c>
      <c r="C137" s="142" t="str">
        <f t="shared" si="25"/>
        <v/>
      </c>
      <c r="D137" s="371" t="str">
        <f t="shared" si="30"/>
        <v/>
      </c>
      <c r="E137" s="372"/>
      <c r="F137" s="372"/>
      <c r="G137" s="372"/>
      <c r="H137" s="372"/>
      <c r="I137" s="372"/>
      <c r="J137" s="373"/>
      <c r="K137" s="176" t="str">
        <f t="shared" si="27"/>
        <v/>
      </c>
      <c r="L137" s="177"/>
      <c r="M137" s="177"/>
      <c r="N137" s="177"/>
      <c r="O137" s="177"/>
      <c r="P137" s="177"/>
      <c r="Q137" s="144"/>
      <c r="R137" s="143" t="str">
        <f t="shared" si="36"/>
        <v/>
      </c>
      <c r="S137" s="142" t="str">
        <f t="shared" si="37"/>
        <v/>
      </c>
      <c r="T137" s="374" t="str">
        <f t="shared" si="28"/>
        <v/>
      </c>
      <c r="U137" s="372"/>
      <c r="V137" s="373"/>
      <c r="W137" s="374" t="str">
        <f t="shared" si="34"/>
        <v/>
      </c>
      <c r="X137" s="375"/>
      <c r="Y137" s="375"/>
      <c r="Z137" s="375"/>
      <c r="AA137" s="376"/>
      <c r="AB137" s="145" t="str">
        <f t="shared" si="29"/>
        <v/>
      </c>
      <c r="AC137" s="341" t="str">
        <f t="shared" si="35"/>
        <v/>
      </c>
      <c r="AD137" s="324"/>
      <c r="AE137" s="342"/>
      <c r="AF137" s="180"/>
      <c r="AG137" s="225"/>
      <c r="AH137" s="236" t="str">
        <f t="shared" si="38"/>
        <v/>
      </c>
    </row>
    <row r="138" spans="1:34" ht="15" customHeight="1">
      <c r="A138" s="43">
        <v>129</v>
      </c>
      <c r="B138" s="141">
        <v>129</v>
      </c>
      <c r="C138" s="142" t="str">
        <f t="shared" ref="C138:C201" si="39">IF(IF(ISNA(VLOOKUP(A138,StartList,3,FALSE)),"",VLOOKUP(A138,StartList,3,FALSE))=0,"",IF(ISNA(VLOOKUP(A138,StartList,3,FALSE)),"",VLOOKUP(A138,StartList,3,FALSE)))</f>
        <v/>
      </c>
      <c r="D138" s="371" t="str">
        <f t="shared" si="30"/>
        <v/>
      </c>
      <c r="E138" s="372"/>
      <c r="F138" s="372"/>
      <c r="G138" s="372"/>
      <c r="H138" s="372"/>
      <c r="I138" s="372"/>
      <c r="J138" s="373"/>
      <c r="K138" s="176" t="str">
        <f t="shared" si="27"/>
        <v/>
      </c>
      <c r="L138" s="177"/>
      <c r="M138" s="177"/>
      <c r="N138" s="177"/>
      <c r="O138" s="177"/>
      <c r="P138" s="177"/>
      <c r="Q138" s="144"/>
      <c r="R138" s="143" t="str">
        <f t="shared" si="36"/>
        <v/>
      </c>
      <c r="S138" s="142" t="str">
        <f t="shared" si="37"/>
        <v/>
      </c>
      <c r="T138" s="374" t="str">
        <f t="shared" si="28"/>
        <v/>
      </c>
      <c r="U138" s="372"/>
      <c r="V138" s="373"/>
      <c r="W138" s="374" t="str">
        <f t="shared" ref="W138:W169" si="40">IF(IF(ISNA(VLOOKUP(A138,StartList,13,FALSE)),"",VLOOKUP(A138,StartList,13,FALSE))=0,"",IF(ISNA(VLOOKUP(A138,StartList,13,FALSE)),"",VLOOKUP(A138,StartList,13,FALSE)))</f>
        <v/>
      </c>
      <c r="X138" s="375"/>
      <c r="Y138" s="375"/>
      <c r="Z138" s="375"/>
      <c r="AA138" s="376"/>
      <c r="AB138" s="145" t="str">
        <f t="shared" si="29"/>
        <v/>
      </c>
      <c r="AC138" s="341" t="str">
        <f t="shared" si="35"/>
        <v/>
      </c>
      <c r="AD138" s="324"/>
      <c r="AE138" s="342"/>
      <c r="AF138" s="180"/>
      <c r="AG138" s="225"/>
      <c r="AH138" s="236" t="str">
        <f t="shared" si="38"/>
        <v/>
      </c>
    </row>
    <row r="139" spans="1:34" ht="15" customHeight="1">
      <c r="A139" s="43">
        <v>130</v>
      </c>
      <c r="B139" s="141">
        <v>130</v>
      </c>
      <c r="C139" s="142" t="str">
        <f t="shared" si="39"/>
        <v/>
      </c>
      <c r="D139" s="371" t="str">
        <f t="shared" si="30"/>
        <v/>
      </c>
      <c r="E139" s="372"/>
      <c r="F139" s="372"/>
      <c r="G139" s="372"/>
      <c r="H139" s="372"/>
      <c r="I139" s="372"/>
      <c r="J139" s="373"/>
      <c r="K139" s="176" t="str">
        <f t="shared" si="27"/>
        <v/>
      </c>
      <c r="L139" s="177"/>
      <c r="M139" s="177"/>
      <c r="N139" s="177"/>
      <c r="O139" s="177"/>
      <c r="P139" s="177"/>
      <c r="Q139" s="144"/>
      <c r="R139" s="143" t="str">
        <f t="shared" si="36"/>
        <v/>
      </c>
      <c r="S139" s="142" t="str">
        <f t="shared" si="37"/>
        <v/>
      </c>
      <c r="T139" s="374" t="str">
        <f t="shared" si="28"/>
        <v/>
      </c>
      <c r="U139" s="372"/>
      <c r="V139" s="373"/>
      <c r="W139" s="374" t="str">
        <f t="shared" si="40"/>
        <v/>
      </c>
      <c r="X139" s="375"/>
      <c r="Y139" s="375"/>
      <c r="Z139" s="375"/>
      <c r="AA139" s="376"/>
      <c r="AB139" s="145" t="str">
        <f t="shared" si="29"/>
        <v/>
      </c>
      <c r="AC139" s="341" t="str">
        <f t="shared" si="35"/>
        <v/>
      </c>
      <c r="AD139" s="324"/>
      <c r="AE139" s="342"/>
      <c r="AF139" s="180"/>
      <c r="AG139" s="225"/>
      <c r="AH139" s="236" t="str">
        <f t="shared" si="38"/>
        <v/>
      </c>
    </row>
    <row r="140" spans="1:34" ht="15" customHeight="1">
      <c r="A140" s="43">
        <v>131</v>
      </c>
      <c r="B140" s="141">
        <v>131</v>
      </c>
      <c r="C140" s="142" t="str">
        <f t="shared" si="39"/>
        <v/>
      </c>
      <c r="D140" s="371" t="str">
        <f t="shared" si="30"/>
        <v/>
      </c>
      <c r="E140" s="372"/>
      <c r="F140" s="372"/>
      <c r="G140" s="372"/>
      <c r="H140" s="372"/>
      <c r="I140" s="372"/>
      <c r="J140" s="373"/>
      <c r="K140" s="176" t="str">
        <f t="shared" ref="K140:K205" si="41">IF(IF(ISNA(VLOOKUP(A140,StartList,5,FALSE)),"",VLOOKUP(A140,StartList,5,FALSE))=0,"",IF(ISNA(VLOOKUP(A140,StartList,5,FALSE)),"",VLOOKUP(A140,StartList,5,FALSE)))</f>
        <v/>
      </c>
      <c r="L140" s="177"/>
      <c r="M140" s="177"/>
      <c r="N140" s="177"/>
      <c r="O140" s="177"/>
      <c r="P140" s="177"/>
      <c r="Q140" s="144"/>
      <c r="R140" s="143" t="str">
        <f t="shared" si="36"/>
        <v/>
      </c>
      <c r="S140" s="142" t="str">
        <f t="shared" si="37"/>
        <v/>
      </c>
      <c r="T140" s="374" t="str">
        <f t="shared" ref="T140:T174" si="42">IF(IF(ISNA(VLOOKUP(A140,StartList,10,FALSE)),"",VLOOKUP(A140,StartList,10,FALSE))=0,"",IF(ISNA(VLOOKUP(A140,StartList,10,FALSE)),"",VLOOKUP(A140,StartList,10,FALSE)))</f>
        <v/>
      </c>
      <c r="U140" s="372"/>
      <c r="V140" s="373"/>
      <c r="W140" s="374" t="str">
        <f t="shared" si="40"/>
        <v/>
      </c>
      <c r="X140" s="375"/>
      <c r="Y140" s="375"/>
      <c r="Z140" s="375"/>
      <c r="AA140" s="376"/>
      <c r="AB140" s="145" t="str">
        <f t="shared" ref="AB140:AB174" si="43">IF(IF(ISNA(VLOOKUP(A140,StartList,16,FALSE)),"",VLOOKUP(A140,StartList,16,FALSE))=0,"",IF(ISNA(VLOOKUP(A140,StartList,16,FALSE)),"",VLOOKUP(A140,StartList,16,FALSE)))</f>
        <v/>
      </c>
      <c r="AC140" s="341" t="str">
        <f t="shared" si="35"/>
        <v/>
      </c>
      <c r="AD140" s="324"/>
      <c r="AE140" s="342"/>
      <c r="AF140" s="180"/>
      <c r="AG140" s="225"/>
      <c r="AH140" s="236" t="str">
        <f t="shared" si="38"/>
        <v/>
      </c>
    </row>
    <row r="141" spans="1:34" ht="15" customHeight="1">
      <c r="A141" s="43">
        <v>132</v>
      </c>
      <c r="B141" s="141">
        <v>132</v>
      </c>
      <c r="C141" s="142" t="str">
        <f t="shared" si="39"/>
        <v/>
      </c>
      <c r="D141" s="371" t="str">
        <f t="shared" si="30"/>
        <v/>
      </c>
      <c r="E141" s="372"/>
      <c r="F141" s="372"/>
      <c r="G141" s="372"/>
      <c r="H141" s="372"/>
      <c r="I141" s="372"/>
      <c r="J141" s="373"/>
      <c r="K141" s="176" t="str">
        <f t="shared" si="41"/>
        <v/>
      </c>
      <c r="L141" s="177"/>
      <c r="M141" s="177"/>
      <c r="N141" s="177"/>
      <c r="O141" s="177"/>
      <c r="P141" s="177"/>
      <c r="Q141" s="144"/>
      <c r="R141" s="143" t="str">
        <f t="shared" si="36"/>
        <v/>
      </c>
      <c r="S141" s="142" t="str">
        <f t="shared" si="37"/>
        <v/>
      </c>
      <c r="T141" s="374" t="str">
        <f t="shared" si="42"/>
        <v/>
      </c>
      <c r="U141" s="372"/>
      <c r="V141" s="373"/>
      <c r="W141" s="374" t="str">
        <f t="shared" si="40"/>
        <v/>
      </c>
      <c r="X141" s="375"/>
      <c r="Y141" s="375"/>
      <c r="Z141" s="375"/>
      <c r="AA141" s="376"/>
      <c r="AB141" s="145" t="str">
        <f t="shared" si="43"/>
        <v/>
      </c>
      <c r="AC141" s="341" t="str">
        <f t="shared" si="35"/>
        <v/>
      </c>
      <c r="AD141" s="324"/>
      <c r="AE141" s="342"/>
      <c r="AF141" s="180"/>
      <c r="AG141" s="225"/>
      <c r="AH141" s="236" t="str">
        <f t="shared" si="38"/>
        <v/>
      </c>
    </row>
    <row r="142" spans="1:34" ht="15" customHeight="1">
      <c r="A142" s="43">
        <v>133</v>
      </c>
      <c r="B142" s="141">
        <v>133</v>
      </c>
      <c r="C142" s="142" t="str">
        <f t="shared" si="39"/>
        <v/>
      </c>
      <c r="D142" s="371" t="str">
        <f t="shared" si="30"/>
        <v/>
      </c>
      <c r="E142" s="372"/>
      <c r="F142" s="372"/>
      <c r="G142" s="372"/>
      <c r="H142" s="372"/>
      <c r="I142" s="372"/>
      <c r="J142" s="373"/>
      <c r="K142" s="176" t="str">
        <f t="shared" si="41"/>
        <v/>
      </c>
      <c r="L142" s="177"/>
      <c r="M142" s="177"/>
      <c r="N142" s="177"/>
      <c r="O142" s="177"/>
      <c r="P142" s="177"/>
      <c r="Q142" s="144"/>
      <c r="R142" s="143" t="str">
        <f t="shared" si="36"/>
        <v/>
      </c>
      <c r="S142" s="142" t="str">
        <f t="shared" si="37"/>
        <v/>
      </c>
      <c r="T142" s="374" t="str">
        <f t="shared" si="42"/>
        <v/>
      </c>
      <c r="U142" s="372"/>
      <c r="V142" s="373"/>
      <c r="W142" s="374" t="str">
        <f t="shared" si="40"/>
        <v/>
      </c>
      <c r="X142" s="375"/>
      <c r="Y142" s="375"/>
      <c r="Z142" s="375"/>
      <c r="AA142" s="376"/>
      <c r="AB142" s="145" t="str">
        <f t="shared" si="43"/>
        <v/>
      </c>
      <c r="AC142" s="341" t="str">
        <f t="shared" si="35"/>
        <v/>
      </c>
      <c r="AD142" s="324"/>
      <c r="AE142" s="342"/>
      <c r="AF142" s="180"/>
      <c r="AG142" s="225"/>
      <c r="AH142" s="236" t="str">
        <f t="shared" si="38"/>
        <v/>
      </c>
    </row>
    <row r="143" spans="1:34" ht="15" customHeight="1">
      <c r="A143" s="43">
        <v>134</v>
      </c>
      <c r="B143" s="141">
        <v>134</v>
      </c>
      <c r="C143" s="142" t="str">
        <f t="shared" si="39"/>
        <v/>
      </c>
      <c r="D143" s="371" t="str">
        <f t="shared" si="30"/>
        <v/>
      </c>
      <c r="E143" s="372"/>
      <c r="F143" s="372"/>
      <c r="G143" s="372"/>
      <c r="H143" s="372"/>
      <c r="I143" s="372"/>
      <c r="J143" s="373"/>
      <c r="K143" s="176" t="str">
        <f t="shared" si="41"/>
        <v/>
      </c>
      <c r="L143" s="177"/>
      <c r="M143" s="177"/>
      <c r="N143" s="177"/>
      <c r="O143" s="177"/>
      <c r="P143" s="177"/>
      <c r="Q143" s="144"/>
      <c r="R143" s="143" t="str">
        <f t="shared" si="36"/>
        <v/>
      </c>
      <c r="S143" s="142" t="str">
        <f t="shared" si="37"/>
        <v/>
      </c>
      <c r="T143" s="374" t="str">
        <f t="shared" si="42"/>
        <v/>
      </c>
      <c r="U143" s="372"/>
      <c r="V143" s="373"/>
      <c r="W143" s="374" t="str">
        <f t="shared" si="40"/>
        <v/>
      </c>
      <c r="X143" s="375"/>
      <c r="Y143" s="375"/>
      <c r="Z143" s="375"/>
      <c r="AA143" s="376"/>
      <c r="AB143" s="145" t="str">
        <f t="shared" si="43"/>
        <v/>
      </c>
      <c r="AC143" s="341" t="str">
        <f t="shared" si="35"/>
        <v/>
      </c>
      <c r="AD143" s="324"/>
      <c r="AE143" s="342"/>
      <c r="AF143" s="180"/>
      <c r="AG143" s="225"/>
      <c r="AH143" s="236" t="str">
        <f t="shared" si="38"/>
        <v/>
      </c>
    </row>
    <row r="144" spans="1:34" ht="15" customHeight="1">
      <c r="A144" s="43">
        <v>135</v>
      </c>
      <c r="B144" s="141">
        <v>135</v>
      </c>
      <c r="C144" s="142" t="str">
        <f t="shared" si="39"/>
        <v/>
      </c>
      <c r="D144" s="371" t="str">
        <f t="shared" si="30"/>
        <v/>
      </c>
      <c r="E144" s="372"/>
      <c r="F144" s="372"/>
      <c r="G144" s="372"/>
      <c r="H144" s="372"/>
      <c r="I144" s="372"/>
      <c r="J144" s="373"/>
      <c r="K144" s="176" t="str">
        <f t="shared" si="41"/>
        <v/>
      </c>
      <c r="L144" s="177"/>
      <c r="M144" s="177"/>
      <c r="N144" s="177"/>
      <c r="O144" s="177"/>
      <c r="P144" s="177"/>
      <c r="Q144" s="144"/>
      <c r="R144" s="143" t="str">
        <f t="shared" si="36"/>
        <v/>
      </c>
      <c r="S144" s="142" t="str">
        <f t="shared" si="37"/>
        <v/>
      </c>
      <c r="T144" s="374" t="str">
        <f t="shared" si="42"/>
        <v/>
      </c>
      <c r="U144" s="372"/>
      <c r="V144" s="373"/>
      <c r="W144" s="374" t="str">
        <f t="shared" si="40"/>
        <v/>
      </c>
      <c r="X144" s="375"/>
      <c r="Y144" s="375"/>
      <c r="Z144" s="375"/>
      <c r="AA144" s="376"/>
      <c r="AB144" s="145" t="str">
        <f t="shared" si="43"/>
        <v/>
      </c>
      <c r="AC144" s="341" t="str">
        <f t="shared" si="35"/>
        <v/>
      </c>
      <c r="AD144" s="324"/>
      <c r="AE144" s="342"/>
      <c r="AF144" s="180"/>
      <c r="AG144" s="225"/>
      <c r="AH144" s="236" t="str">
        <f t="shared" si="38"/>
        <v/>
      </c>
    </row>
    <row r="145" spans="1:34" ht="15" customHeight="1">
      <c r="A145" s="43">
        <v>136</v>
      </c>
      <c r="B145" s="141">
        <v>136</v>
      </c>
      <c r="C145" s="142" t="str">
        <f t="shared" si="39"/>
        <v/>
      </c>
      <c r="D145" s="371" t="str">
        <f t="shared" si="30"/>
        <v/>
      </c>
      <c r="E145" s="372"/>
      <c r="F145" s="372"/>
      <c r="G145" s="372"/>
      <c r="H145" s="372"/>
      <c r="I145" s="372"/>
      <c r="J145" s="373"/>
      <c r="K145" s="176" t="str">
        <f t="shared" si="41"/>
        <v/>
      </c>
      <c r="L145" s="177"/>
      <c r="M145" s="177"/>
      <c r="N145" s="177"/>
      <c r="O145" s="177"/>
      <c r="P145" s="177"/>
      <c r="Q145" s="144"/>
      <c r="R145" s="143" t="str">
        <f t="shared" si="36"/>
        <v/>
      </c>
      <c r="S145" s="142" t="str">
        <f t="shared" si="37"/>
        <v/>
      </c>
      <c r="T145" s="374" t="str">
        <f t="shared" si="42"/>
        <v/>
      </c>
      <c r="U145" s="372"/>
      <c r="V145" s="373"/>
      <c r="W145" s="374" t="str">
        <f t="shared" si="40"/>
        <v/>
      </c>
      <c r="X145" s="375"/>
      <c r="Y145" s="375"/>
      <c r="Z145" s="375"/>
      <c r="AA145" s="376"/>
      <c r="AB145" s="145" t="str">
        <f t="shared" si="43"/>
        <v/>
      </c>
      <c r="AC145" s="341" t="str">
        <f t="shared" si="35"/>
        <v/>
      </c>
      <c r="AD145" s="324"/>
      <c r="AE145" s="342"/>
      <c r="AF145" s="180"/>
      <c r="AG145" s="225"/>
      <c r="AH145" s="236" t="str">
        <f t="shared" si="38"/>
        <v/>
      </c>
    </row>
    <row r="146" spans="1:34" ht="15" customHeight="1">
      <c r="A146" s="43">
        <v>137</v>
      </c>
      <c r="B146" s="141">
        <v>137</v>
      </c>
      <c r="C146" s="142" t="str">
        <f t="shared" si="39"/>
        <v/>
      </c>
      <c r="D146" s="371" t="str">
        <f t="shared" si="30"/>
        <v/>
      </c>
      <c r="E146" s="372"/>
      <c r="F146" s="372"/>
      <c r="G146" s="372"/>
      <c r="H146" s="372"/>
      <c r="I146" s="372"/>
      <c r="J146" s="373"/>
      <c r="K146" s="176" t="str">
        <f t="shared" si="41"/>
        <v/>
      </c>
      <c r="L146" s="177"/>
      <c r="M146" s="177"/>
      <c r="N146" s="177"/>
      <c r="O146" s="177"/>
      <c r="P146" s="177"/>
      <c r="Q146" s="144"/>
      <c r="R146" s="143" t="str">
        <f t="shared" si="36"/>
        <v/>
      </c>
      <c r="S146" s="142" t="str">
        <f t="shared" si="37"/>
        <v/>
      </c>
      <c r="T146" s="374" t="str">
        <f t="shared" si="42"/>
        <v/>
      </c>
      <c r="U146" s="372"/>
      <c r="V146" s="373"/>
      <c r="W146" s="374" t="str">
        <f t="shared" si="40"/>
        <v/>
      </c>
      <c r="X146" s="375"/>
      <c r="Y146" s="375"/>
      <c r="Z146" s="375"/>
      <c r="AA146" s="376"/>
      <c r="AB146" s="145" t="str">
        <f t="shared" si="43"/>
        <v/>
      </c>
      <c r="AC146" s="341" t="str">
        <f t="shared" si="35"/>
        <v/>
      </c>
      <c r="AD146" s="324"/>
      <c r="AE146" s="342"/>
      <c r="AF146" s="180"/>
      <c r="AG146" s="225"/>
      <c r="AH146" s="236" t="str">
        <f t="shared" si="38"/>
        <v/>
      </c>
    </row>
    <row r="147" spans="1:34" ht="15" customHeight="1">
      <c r="A147" s="43">
        <v>138</v>
      </c>
      <c r="B147" s="141">
        <v>138</v>
      </c>
      <c r="C147" s="142" t="str">
        <f t="shared" si="39"/>
        <v/>
      </c>
      <c r="D147" s="371" t="str">
        <f t="shared" si="30"/>
        <v/>
      </c>
      <c r="E147" s="372"/>
      <c r="F147" s="372"/>
      <c r="G147" s="372"/>
      <c r="H147" s="372"/>
      <c r="I147" s="372"/>
      <c r="J147" s="373"/>
      <c r="K147" s="176" t="str">
        <f t="shared" si="41"/>
        <v/>
      </c>
      <c r="L147" s="177"/>
      <c r="M147" s="177"/>
      <c r="N147" s="177"/>
      <c r="O147" s="177"/>
      <c r="P147" s="177"/>
      <c r="Q147" s="144"/>
      <c r="R147" s="143" t="str">
        <f t="shared" si="36"/>
        <v/>
      </c>
      <c r="S147" s="142" t="str">
        <f t="shared" si="37"/>
        <v/>
      </c>
      <c r="T147" s="374" t="str">
        <f t="shared" si="42"/>
        <v/>
      </c>
      <c r="U147" s="372"/>
      <c r="V147" s="373"/>
      <c r="W147" s="374" t="str">
        <f t="shared" si="40"/>
        <v/>
      </c>
      <c r="X147" s="375"/>
      <c r="Y147" s="375"/>
      <c r="Z147" s="375"/>
      <c r="AA147" s="376"/>
      <c r="AB147" s="145" t="str">
        <f t="shared" si="43"/>
        <v/>
      </c>
      <c r="AC147" s="341" t="str">
        <f t="shared" si="35"/>
        <v/>
      </c>
      <c r="AD147" s="324"/>
      <c r="AE147" s="342"/>
      <c r="AF147" s="180"/>
      <c r="AG147" s="225"/>
      <c r="AH147" s="236" t="str">
        <f t="shared" si="38"/>
        <v/>
      </c>
    </row>
    <row r="148" spans="1:34" ht="15" customHeight="1">
      <c r="A148" s="43">
        <v>139</v>
      </c>
      <c r="B148" s="141">
        <v>139</v>
      </c>
      <c r="C148" s="142" t="str">
        <f t="shared" si="39"/>
        <v/>
      </c>
      <c r="D148" s="371" t="str">
        <f t="shared" si="30"/>
        <v/>
      </c>
      <c r="E148" s="372"/>
      <c r="F148" s="372"/>
      <c r="G148" s="372"/>
      <c r="H148" s="372"/>
      <c r="I148" s="372"/>
      <c r="J148" s="373"/>
      <c r="K148" s="176" t="str">
        <f t="shared" si="41"/>
        <v/>
      </c>
      <c r="L148" s="177"/>
      <c r="M148" s="177"/>
      <c r="N148" s="177"/>
      <c r="O148" s="177"/>
      <c r="P148" s="177"/>
      <c r="Q148" s="144"/>
      <c r="R148" s="143" t="str">
        <f t="shared" si="36"/>
        <v/>
      </c>
      <c r="S148" s="142" t="str">
        <f t="shared" si="37"/>
        <v/>
      </c>
      <c r="T148" s="374" t="str">
        <f t="shared" si="42"/>
        <v/>
      </c>
      <c r="U148" s="372"/>
      <c r="V148" s="373"/>
      <c r="W148" s="374" t="str">
        <f t="shared" si="40"/>
        <v/>
      </c>
      <c r="X148" s="375"/>
      <c r="Y148" s="375"/>
      <c r="Z148" s="375"/>
      <c r="AA148" s="376"/>
      <c r="AB148" s="145" t="str">
        <f t="shared" si="43"/>
        <v/>
      </c>
      <c r="AC148" s="341" t="str">
        <f t="shared" si="35"/>
        <v/>
      </c>
      <c r="AD148" s="324"/>
      <c r="AE148" s="342"/>
      <c r="AF148" s="180"/>
      <c r="AG148" s="225"/>
      <c r="AH148" s="236" t="str">
        <f t="shared" si="38"/>
        <v/>
      </c>
    </row>
    <row r="149" spans="1:34" ht="15" customHeight="1">
      <c r="A149" s="43">
        <v>140</v>
      </c>
      <c r="B149" s="141">
        <v>140</v>
      </c>
      <c r="C149" s="142" t="str">
        <f t="shared" si="39"/>
        <v/>
      </c>
      <c r="D149" s="371" t="str">
        <f t="shared" si="30"/>
        <v/>
      </c>
      <c r="E149" s="372"/>
      <c r="F149" s="372"/>
      <c r="G149" s="372"/>
      <c r="H149" s="372"/>
      <c r="I149" s="372"/>
      <c r="J149" s="373"/>
      <c r="K149" s="176" t="str">
        <f t="shared" si="41"/>
        <v/>
      </c>
      <c r="L149" s="177"/>
      <c r="M149" s="177"/>
      <c r="N149" s="177"/>
      <c r="O149" s="177"/>
      <c r="P149" s="177"/>
      <c r="Q149" s="144"/>
      <c r="R149" s="143" t="str">
        <f t="shared" si="36"/>
        <v/>
      </c>
      <c r="S149" s="142" t="str">
        <f t="shared" si="37"/>
        <v/>
      </c>
      <c r="T149" s="374" t="str">
        <f t="shared" si="42"/>
        <v/>
      </c>
      <c r="U149" s="372"/>
      <c r="V149" s="373"/>
      <c r="W149" s="374" t="str">
        <f t="shared" si="40"/>
        <v/>
      </c>
      <c r="X149" s="375"/>
      <c r="Y149" s="375"/>
      <c r="Z149" s="375"/>
      <c r="AA149" s="376"/>
      <c r="AB149" s="145" t="str">
        <f t="shared" si="43"/>
        <v/>
      </c>
      <c r="AC149" s="341" t="str">
        <f t="shared" si="35"/>
        <v/>
      </c>
      <c r="AD149" s="324"/>
      <c r="AE149" s="342"/>
      <c r="AF149" s="180"/>
      <c r="AG149" s="225"/>
      <c r="AH149" s="236" t="str">
        <f t="shared" si="38"/>
        <v/>
      </c>
    </row>
    <row r="150" spans="1:34" ht="15" customHeight="1">
      <c r="A150" s="43">
        <v>141</v>
      </c>
      <c r="B150" s="141">
        <v>141</v>
      </c>
      <c r="C150" s="142" t="str">
        <f t="shared" si="39"/>
        <v/>
      </c>
      <c r="D150" s="371" t="str">
        <f t="shared" si="30"/>
        <v/>
      </c>
      <c r="E150" s="372"/>
      <c r="F150" s="372"/>
      <c r="G150" s="372"/>
      <c r="H150" s="372"/>
      <c r="I150" s="372"/>
      <c r="J150" s="373"/>
      <c r="K150" s="176" t="str">
        <f t="shared" si="41"/>
        <v/>
      </c>
      <c r="L150" s="177"/>
      <c r="M150" s="177"/>
      <c r="N150" s="177"/>
      <c r="O150" s="177"/>
      <c r="P150" s="177"/>
      <c r="Q150" s="144"/>
      <c r="R150" s="143" t="str">
        <f t="shared" si="36"/>
        <v/>
      </c>
      <c r="S150" s="142" t="str">
        <f t="shared" si="37"/>
        <v/>
      </c>
      <c r="T150" s="374" t="str">
        <f t="shared" si="42"/>
        <v/>
      </c>
      <c r="U150" s="372"/>
      <c r="V150" s="373"/>
      <c r="W150" s="374" t="str">
        <f t="shared" si="40"/>
        <v/>
      </c>
      <c r="X150" s="375"/>
      <c r="Y150" s="375"/>
      <c r="Z150" s="375"/>
      <c r="AA150" s="376"/>
      <c r="AB150" s="145" t="str">
        <f t="shared" si="43"/>
        <v/>
      </c>
      <c r="AC150" s="341" t="str">
        <f t="shared" si="35"/>
        <v/>
      </c>
      <c r="AD150" s="324"/>
      <c r="AE150" s="342"/>
      <c r="AF150" s="180"/>
      <c r="AG150" s="225"/>
      <c r="AH150" s="236" t="str">
        <f t="shared" si="38"/>
        <v/>
      </c>
    </row>
    <row r="151" spans="1:34" ht="15" customHeight="1">
      <c r="A151" s="43">
        <v>142</v>
      </c>
      <c r="B151" s="141">
        <v>142</v>
      </c>
      <c r="C151" s="142" t="str">
        <f t="shared" si="39"/>
        <v/>
      </c>
      <c r="D151" s="371" t="str">
        <f t="shared" ref="D151:D173" si="44">IF(IF(ISNA(VLOOKUP(A151,StartList,4,FALSE)),"",VLOOKUP(A151,StartList,4,FALSE))=0,"",IF(ISNA(VLOOKUP(A151,StartList,4,FALSE)),"",VLOOKUP(A151,StartList,4,FALSE)))</f>
        <v/>
      </c>
      <c r="E151" s="372"/>
      <c r="F151" s="372"/>
      <c r="G151" s="372"/>
      <c r="H151" s="372"/>
      <c r="I151" s="372"/>
      <c r="J151" s="373"/>
      <c r="K151" s="176" t="str">
        <f t="shared" si="41"/>
        <v/>
      </c>
      <c r="L151" s="177"/>
      <c r="M151" s="177"/>
      <c r="N151" s="177"/>
      <c r="O151" s="177"/>
      <c r="P151" s="177"/>
      <c r="Q151" s="144"/>
      <c r="R151" s="143" t="str">
        <f t="shared" si="36"/>
        <v/>
      </c>
      <c r="S151" s="142" t="str">
        <f t="shared" si="37"/>
        <v/>
      </c>
      <c r="T151" s="374" t="str">
        <f t="shared" si="42"/>
        <v/>
      </c>
      <c r="U151" s="372"/>
      <c r="V151" s="373"/>
      <c r="W151" s="374" t="str">
        <f t="shared" si="40"/>
        <v/>
      </c>
      <c r="X151" s="375"/>
      <c r="Y151" s="375"/>
      <c r="Z151" s="375"/>
      <c r="AA151" s="376"/>
      <c r="AB151" s="145" t="str">
        <f t="shared" si="43"/>
        <v/>
      </c>
      <c r="AC151" s="341" t="str">
        <f t="shared" si="35"/>
        <v/>
      </c>
      <c r="AD151" s="324"/>
      <c r="AE151" s="342"/>
      <c r="AF151" s="180"/>
      <c r="AG151" s="225"/>
      <c r="AH151" s="236" t="str">
        <f t="shared" si="38"/>
        <v/>
      </c>
    </row>
    <row r="152" spans="1:34" ht="15" customHeight="1">
      <c r="A152" s="43">
        <v>143</v>
      </c>
      <c r="B152" s="141">
        <v>143</v>
      </c>
      <c r="C152" s="142" t="str">
        <f t="shared" si="39"/>
        <v/>
      </c>
      <c r="D152" s="371" t="str">
        <f t="shared" si="44"/>
        <v/>
      </c>
      <c r="E152" s="372"/>
      <c r="F152" s="372"/>
      <c r="G152" s="372"/>
      <c r="H152" s="372"/>
      <c r="I152" s="372"/>
      <c r="J152" s="373"/>
      <c r="K152" s="176" t="str">
        <f t="shared" si="41"/>
        <v/>
      </c>
      <c r="L152" s="177"/>
      <c r="M152" s="177"/>
      <c r="N152" s="177"/>
      <c r="O152" s="177"/>
      <c r="P152" s="177"/>
      <c r="Q152" s="144"/>
      <c r="R152" s="143" t="str">
        <f t="shared" si="36"/>
        <v/>
      </c>
      <c r="S152" s="142" t="str">
        <f t="shared" si="37"/>
        <v/>
      </c>
      <c r="T152" s="374" t="str">
        <f t="shared" si="42"/>
        <v/>
      </c>
      <c r="U152" s="372"/>
      <c r="V152" s="373"/>
      <c r="W152" s="374" t="str">
        <f t="shared" si="40"/>
        <v/>
      </c>
      <c r="X152" s="375"/>
      <c r="Y152" s="375"/>
      <c r="Z152" s="375"/>
      <c r="AA152" s="376"/>
      <c r="AB152" s="145" t="str">
        <f t="shared" si="43"/>
        <v/>
      </c>
      <c r="AC152" s="341" t="str">
        <f t="shared" si="35"/>
        <v/>
      </c>
      <c r="AD152" s="324"/>
      <c r="AE152" s="342"/>
      <c r="AF152" s="180"/>
      <c r="AG152" s="225"/>
      <c r="AH152" s="236" t="str">
        <f t="shared" si="38"/>
        <v/>
      </c>
    </row>
    <row r="153" spans="1:34" ht="15" customHeight="1">
      <c r="A153" s="43">
        <v>144</v>
      </c>
      <c r="B153" s="141">
        <v>144</v>
      </c>
      <c r="C153" s="142" t="str">
        <f t="shared" si="39"/>
        <v/>
      </c>
      <c r="D153" s="371" t="str">
        <f t="shared" si="44"/>
        <v/>
      </c>
      <c r="E153" s="372"/>
      <c r="F153" s="372"/>
      <c r="G153" s="372"/>
      <c r="H153" s="372"/>
      <c r="I153" s="372"/>
      <c r="J153" s="373"/>
      <c r="K153" s="176" t="str">
        <f t="shared" si="41"/>
        <v/>
      </c>
      <c r="L153" s="177"/>
      <c r="M153" s="177"/>
      <c r="N153" s="177"/>
      <c r="O153" s="177"/>
      <c r="P153" s="177"/>
      <c r="Q153" s="144"/>
      <c r="R153" s="143" t="str">
        <f t="shared" si="36"/>
        <v/>
      </c>
      <c r="S153" s="142" t="str">
        <f t="shared" si="37"/>
        <v/>
      </c>
      <c r="T153" s="374" t="str">
        <f t="shared" si="42"/>
        <v/>
      </c>
      <c r="U153" s="372"/>
      <c r="V153" s="373"/>
      <c r="W153" s="374" t="str">
        <f t="shared" si="40"/>
        <v/>
      </c>
      <c r="X153" s="375"/>
      <c r="Y153" s="375"/>
      <c r="Z153" s="375"/>
      <c r="AA153" s="376"/>
      <c r="AB153" s="145" t="str">
        <f t="shared" si="43"/>
        <v/>
      </c>
      <c r="AC153" s="341" t="str">
        <f t="shared" si="35"/>
        <v/>
      </c>
      <c r="AD153" s="324"/>
      <c r="AE153" s="342"/>
      <c r="AF153" s="180"/>
      <c r="AG153" s="225"/>
      <c r="AH153" s="236" t="str">
        <f t="shared" si="38"/>
        <v/>
      </c>
    </row>
    <row r="154" spans="1:34" ht="15" customHeight="1">
      <c r="A154" s="43">
        <v>145</v>
      </c>
      <c r="B154" s="141">
        <v>145</v>
      </c>
      <c r="C154" s="142" t="str">
        <f t="shared" si="39"/>
        <v/>
      </c>
      <c r="D154" s="371" t="str">
        <f t="shared" si="44"/>
        <v/>
      </c>
      <c r="E154" s="372"/>
      <c r="F154" s="372"/>
      <c r="G154" s="372"/>
      <c r="H154" s="372"/>
      <c r="I154" s="372"/>
      <c r="J154" s="373"/>
      <c r="K154" s="176" t="str">
        <f t="shared" si="41"/>
        <v/>
      </c>
      <c r="L154" s="177"/>
      <c r="M154" s="177"/>
      <c r="N154" s="177"/>
      <c r="O154" s="177"/>
      <c r="P154" s="177"/>
      <c r="Q154" s="144"/>
      <c r="R154" s="143" t="str">
        <f t="shared" si="36"/>
        <v/>
      </c>
      <c r="S154" s="142" t="str">
        <f t="shared" si="37"/>
        <v/>
      </c>
      <c r="T154" s="374" t="str">
        <f t="shared" si="42"/>
        <v/>
      </c>
      <c r="U154" s="372"/>
      <c r="V154" s="373"/>
      <c r="W154" s="374" t="str">
        <f t="shared" si="40"/>
        <v/>
      </c>
      <c r="X154" s="375"/>
      <c r="Y154" s="375"/>
      <c r="Z154" s="375"/>
      <c r="AA154" s="376"/>
      <c r="AB154" s="145" t="str">
        <f t="shared" si="43"/>
        <v/>
      </c>
      <c r="AC154" s="341" t="str">
        <f t="shared" si="35"/>
        <v/>
      </c>
      <c r="AD154" s="324"/>
      <c r="AE154" s="342"/>
      <c r="AF154" s="180"/>
      <c r="AG154" s="225"/>
      <c r="AH154" s="236" t="str">
        <f t="shared" si="38"/>
        <v/>
      </c>
    </row>
    <row r="155" spans="1:34" ht="15" customHeight="1">
      <c r="A155" s="43">
        <v>146</v>
      </c>
      <c r="B155" s="141">
        <v>146</v>
      </c>
      <c r="C155" s="142" t="str">
        <f t="shared" si="39"/>
        <v/>
      </c>
      <c r="D155" s="371" t="str">
        <f t="shared" si="44"/>
        <v/>
      </c>
      <c r="E155" s="372"/>
      <c r="F155" s="372"/>
      <c r="G155" s="372"/>
      <c r="H155" s="372"/>
      <c r="I155" s="372"/>
      <c r="J155" s="373"/>
      <c r="K155" s="176" t="str">
        <f t="shared" si="41"/>
        <v/>
      </c>
      <c r="L155" s="177"/>
      <c r="M155" s="177"/>
      <c r="N155" s="177"/>
      <c r="O155" s="177"/>
      <c r="P155" s="177"/>
      <c r="Q155" s="144"/>
      <c r="R155" s="143" t="str">
        <f t="shared" si="36"/>
        <v/>
      </c>
      <c r="S155" s="142" t="str">
        <f t="shared" si="37"/>
        <v/>
      </c>
      <c r="T155" s="374" t="str">
        <f t="shared" si="42"/>
        <v/>
      </c>
      <c r="U155" s="372"/>
      <c r="V155" s="373"/>
      <c r="W155" s="374" t="str">
        <f t="shared" si="40"/>
        <v/>
      </c>
      <c r="X155" s="375"/>
      <c r="Y155" s="375"/>
      <c r="Z155" s="375"/>
      <c r="AA155" s="376"/>
      <c r="AB155" s="145" t="str">
        <f t="shared" si="43"/>
        <v/>
      </c>
      <c r="AC155" s="341" t="str">
        <f t="shared" si="35"/>
        <v/>
      </c>
      <c r="AD155" s="324"/>
      <c r="AE155" s="342"/>
      <c r="AF155" s="180"/>
      <c r="AG155" s="225"/>
      <c r="AH155" s="236" t="str">
        <f t="shared" si="38"/>
        <v/>
      </c>
    </row>
    <row r="156" spans="1:34" ht="15" customHeight="1">
      <c r="A156" s="43">
        <v>147</v>
      </c>
      <c r="B156" s="141">
        <v>147</v>
      </c>
      <c r="C156" s="142" t="str">
        <f t="shared" si="39"/>
        <v/>
      </c>
      <c r="D156" s="371" t="str">
        <f t="shared" si="44"/>
        <v/>
      </c>
      <c r="E156" s="372"/>
      <c r="F156" s="372"/>
      <c r="G156" s="372"/>
      <c r="H156" s="372"/>
      <c r="I156" s="372"/>
      <c r="J156" s="373"/>
      <c r="K156" s="176" t="str">
        <f t="shared" si="41"/>
        <v/>
      </c>
      <c r="L156" s="177"/>
      <c r="M156" s="177"/>
      <c r="N156" s="177"/>
      <c r="O156" s="177"/>
      <c r="P156" s="177"/>
      <c r="Q156" s="144"/>
      <c r="R156" s="143" t="str">
        <f t="shared" si="36"/>
        <v/>
      </c>
      <c r="S156" s="142" t="str">
        <f t="shared" si="37"/>
        <v/>
      </c>
      <c r="T156" s="374" t="str">
        <f t="shared" si="42"/>
        <v/>
      </c>
      <c r="U156" s="372"/>
      <c r="V156" s="373"/>
      <c r="W156" s="374" t="str">
        <f t="shared" si="40"/>
        <v/>
      </c>
      <c r="X156" s="375"/>
      <c r="Y156" s="375"/>
      <c r="Z156" s="375"/>
      <c r="AA156" s="376"/>
      <c r="AB156" s="145" t="str">
        <f t="shared" si="43"/>
        <v/>
      </c>
      <c r="AC156" s="341" t="str">
        <f t="shared" si="35"/>
        <v/>
      </c>
      <c r="AD156" s="324"/>
      <c r="AE156" s="342"/>
      <c r="AF156" s="180"/>
      <c r="AG156" s="225"/>
      <c r="AH156" s="236" t="str">
        <f t="shared" si="38"/>
        <v/>
      </c>
    </row>
    <row r="157" spans="1:34" ht="15" customHeight="1">
      <c r="A157" s="43">
        <v>148</v>
      </c>
      <c r="B157" s="141">
        <v>148</v>
      </c>
      <c r="C157" s="142" t="str">
        <f t="shared" si="39"/>
        <v/>
      </c>
      <c r="D157" s="371" t="str">
        <f t="shared" si="44"/>
        <v/>
      </c>
      <c r="E157" s="372"/>
      <c r="F157" s="372"/>
      <c r="G157" s="372"/>
      <c r="H157" s="372"/>
      <c r="I157" s="372"/>
      <c r="J157" s="373"/>
      <c r="K157" s="176" t="str">
        <f t="shared" si="41"/>
        <v/>
      </c>
      <c r="L157" s="177"/>
      <c r="M157" s="177"/>
      <c r="N157" s="177"/>
      <c r="O157" s="177"/>
      <c r="P157" s="177"/>
      <c r="Q157" s="144"/>
      <c r="R157" s="143" t="str">
        <f t="shared" si="36"/>
        <v/>
      </c>
      <c r="S157" s="142" t="str">
        <f t="shared" si="37"/>
        <v/>
      </c>
      <c r="T157" s="374" t="str">
        <f t="shared" si="42"/>
        <v/>
      </c>
      <c r="U157" s="372"/>
      <c r="V157" s="373"/>
      <c r="W157" s="374" t="str">
        <f t="shared" si="40"/>
        <v/>
      </c>
      <c r="X157" s="375"/>
      <c r="Y157" s="375"/>
      <c r="Z157" s="375"/>
      <c r="AA157" s="376"/>
      <c r="AB157" s="145" t="str">
        <f t="shared" si="43"/>
        <v/>
      </c>
      <c r="AC157" s="341" t="str">
        <f t="shared" si="35"/>
        <v/>
      </c>
      <c r="AD157" s="324"/>
      <c r="AE157" s="342"/>
      <c r="AF157" s="180"/>
      <c r="AG157" s="225"/>
      <c r="AH157" s="236" t="str">
        <f t="shared" si="38"/>
        <v/>
      </c>
    </row>
    <row r="158" spans="1:34" ht="15" customHeight="1">
      <c r="A158" s="43">
        <v>149</v>
      </c>
      <c r="B158" s="141">
        <v>149</v>
      </c>
      <c r="C158" s="142" t="str">
        <f t="shared" si="39"/>
        <v/>
      </c>
      <c r="D158" s="371" t="str">
        <f t="shared" si="44"/>
        <v/>
      </c>
      <c r="E158" s="372"/>
      <c r="F158" s="372"/>
      <c r="G158" s="372"/>
      <c r="H158" s="372"/>
      <c r="I158" s="372"/>
      <c r="J158" s="373"/>
      <c r="K158" s="176" t="str">
        <f t="shared" si="41"/>
        <v/>
      </c>
      <c r="L158" s="177"/>
      <c r="M158" s="177"/>
      <c r="N158" s="177"/>
      <c r="O158" s="177"/>
      <c r="P158" s="177"/>
      <c r="Q158" s="144"/>
      <c r="R158" s="143" t="str">
        <f t="shared" si="36"/>
        <v/>
      </c>
      <c r="S158" s="142" t="str">
        <f t="shared" si="37"/>
        <v/>
      </c>
      <c r="T158" s="374" t="str">
        <f t="shared" si="42"/>
        <v/>
      </c>
      <c r="U158" s="372"/>
      <c r="V158" s="373"/>
      <c r="W158" s="374" t="str">
        <f t="shared" si="40"/>
        <v/>
      </c>
      <c r="X158" s="375"/>
      <c r="Y158" s="375"/>
      <c r="Z158" s="375"/>
      <c r="AA158" s="376"/>
      <c r="AB158" s="145" t="str">
        <f t="shared" si="43"/>
        <v/>
      </c>
      <c r="AC158" s="341" t="str">
        <f t="shared" si="35"/>
        <v/>
      </c>
      <c r="AD158" s="324"/>
      <c r="AE158" s="342"/>
      <c r="AF158" s="180"/>
      <c r="AG158" s="225"/>
      <c r="AH158" s="236" t="str">
        <f t="shared" si="38"/>
        <v/>
      </c>
    </row>
    <row r="159" spans="1:34" ht="15" customHeight="1">
      <c r="A159" s="109">
        <v>150</v>
      </c>
      <c r="B159" s="141">
        <v>150</v>
      </c>
      <c r="C159" s="142" t="str">
        <f t="shared" si="39"/>
        <v/>
      </c>
      <c r="D159" s="371" t="str">
        <f t="shared" si="44"/>
        <v/>
      </c>
      <c r="E159" s="372"/>
      <c r="F159" s="372"/>
      <c r="G159" s="372"/>
      <c r="H159" s="372"/>
      <c r="I159" s="372"/>
      <c r="J159" s="373"/>
      <c r="K159" s="176" t="str">
        <f t="shared" si="41"/>
        <v/>
      </c>
      <c r="L159" s="177"/>
      <c r="M159" s="177"/>
      <c r="N159" s="177"/>
      <c r="O159" s="177"/>
      <c r="P159" s="177"/>
      <c r="Q159" s="144"/>
      <c r="R159" s="143" t="str">
        <f t="shared" si="36"/>
        <v/>
      </c>
      <c r="S159" s="142" t="str">
        <f t="shared" si="37"/>
        <v/>
      </c>
      <c r="T159" s="374" t="str">
        <f t="shared" si="42"/>
        <v/>
      </c>
      <c r="U159" s="372"/>
      <c r="V159" s="373"/>
      <c r="W159" s="374" t="str">
        <f t="shared" si="40"/>
        <v/>
      </c>
      <c r="X159" s="375"/>
      <c r="Y159" s="375"/>
      <c r="Z159" s="375"/>
      <c r="AA159" s="376"/>
      <c r="AB159" s="145" t="str">
        <f t="shared" si="43"/>
        <v/>
      </c>
      <c r="AC159" s="341" t="str">
        <f t="shared" si="35"/>
        <v/>
      </c>
      <c r="AD159" s="324"/>
      <c r="AE159" s="342"/>
      <c r="AF159" s="180"/>
      <c r="AG159" s="225"/>
      <c r="AH159" s="236" t="str">
        <f t="shared" si="38"/>
        <v/>
      </c>
    </row>
    <row r="160" spans="1:34">
      <c r="A160" s="109">
        <v>151</v>
      </c>
      <c r="B160" s="141">
        <v>151</v>
      </c>
      <c r="C160" s="142" t="str">
        <f t="shared" si="39"/>
        <v/>
      </c>
      <c r="D160" s="371" t="str">
        <f t="shared" si="44"/>
        <v/>
      </c>
      <c r="E160" s="372"/>
      <c r="F160" s="372"/>
      <c r="G160" s="372"/>
      <c r="H160" s="372"/>
      <c r="I160" s="372"/>
      <c r="J160" s="373"/>
      <c r="K160" s="176" t="str">
        <f t="shared" si="41"/>
        <v/>
      </c>
      <c r="L160" s="177"/>
      <c r="M160" s="177"/>
      <c r="N160" s="177"/>
      <c r="O160" s="177"/>
      <c r="P160" s="177"/>
      <c r="Q160" s="144"/>
      <c r="R160" s="143" t="str">
        <f t="shared" si="36"/>
        <v/>
      </c>
      <c r="S160" s="142" t="str">
        <f t="shared" si="37"/>
        <v/>
      </c>
      <c r="T160" s="374" t="str">
        <f t="shared" si="42"/>
        <v/>
      </c>
      <c r="U160" s="372"/>
      <c r="V160" s="373"/>
      <c r="W160" s="374" t="str">
        <f t="shared" si="40"/>
        <v/>
      </c>
      <c r="X160" s="375"/>
      <c r="Y160" s="375"/>
      <c r="Z160" s="375"/>
      <c r="AA160" s="376"/>
      <c r="AB160" s="145" t="str">
        <f t="shared" si="43"/>
        <v/>
      </c>
      <c r="AC160" s="341" t="str">
        <f t="shared" si="35"/>
        <v/>
      </c>
      <c r="AD160" s="324"/>
      <c r="AE160" s="342"/>
      <c r="AF160" s="180"/>
      <c r="AG160" s="225"/>
      <c r="AH160" s="236" t="str">
        <f t="shared" si="38"/>
        <v/>
      </c>
    </row>
    <row r="161" spans="1:34">
      <c r="A161" s="109">
        <v>152</v>
      </c>
      <c r="B161" s="141">
        <v>152</v>
      </c>
      <c r="C161" s="142" t="str">
        <f t="shared" si="39"/>
        <v/>
      </c>
      <c r="D161" s="371" t="str">
        <f t="shared" si="44"/>
        <v/>
      </c>
      <c r="E161" s="372"/>
      <c r="F161" s="372"/>
      <c r="G161" s="372"/>
      <c r="H161" s="372"/>
      <c r="I161" s="372"/>
      <c r="J161" s="373"/>
      <c r="K161" s="176" t="str">
        <f t="shared" si="41"/>
        <v/>
      </c>
      <c r="L161" s="177"/>
      <c r="M161" s="177"/>
      <c r="N161" s="177"/>
      <c r="O161" s="177"/>
      <c r="P161" s="177"/>
      <c r="Q161" s="144"/>
      <c r="R161" s="143" t="str">
        <f t="shared" si="36"/>
        <v/>
      </c>
      <c r="S161" s="142" t="str">
        <f t="shared" si="37"/>
        <v/>
      </c>
      <c r="T161" s="374" t="str">
        <f t="shared" si="42"/>
        <v/>
      </c>
      <c r="U161" s="372"/>
      <c r="V161" s="373"/>
      <c r="W161" s="374" t="str">
        <f t="shared" si="40"/>
        <v/>
      </c>
      <c r="X161" s="375"/>
      <c r="Y161" s="375"/>
      <c r="Z161" s="375"/>
      <c r="AA161" s="376"/>
      <c r="AB161" s="145" t="str">
        <f t="shared" si="43"/>
        <v/>
      </c>
      <c r="AC161" s="341" t="str">
        <f t="shared" si="35"/>
        <v/>
      </c>
      <c r="AD161" s="324"/>
      <c r="AE161" s="342"/>
      <c r="AF161" s="180"/>
      <c r="AG161" s="225"/>
      <c r="AH161" s="236" t="str">
        <f t="shared" si="38"/>
        <v/>
      </c>
    </row>
    <row r="162" spans="1:34">
      <c r="A162" s="109">
        <v>153</v>
      </c>
      <c r="B162" s="141">
        <v>153</v>
      </c>
      <c r="C162" s="142" t="str">
        <f t="shared" si="39"/>
        <v/>
      </c>
      <c r="D162" s="371" t="str">
        <f t="shared" si="44"/>
        <v/>
      </c>
      <c r="E162" s="372"/>
      <c r="F162" s="372"/>
      <c r="G162" s="372"/>
      <c r="H162" s="372"/>
      <c r="I162" s="372"/>
      <c r="J162" s="373"/>
      <c r="K162" s="176" t="str">
        <f t="shared" si="41"/>
        <v/>
      </c>
      <c r="L162" s="177"/>
      <c r="M162" s="177"/>
      <c r="N162" s="177"/>
      <c r="O162" s="177"/>
      <c r="P162" s="177"/>
      <c r="Q162" s="144"/>
      <c r="R162" s="143" t="str">
        <f t="shared" si="36"/>
        <v/>
      </c>
      <c r="S162" s="142" t="str">
        <f t="shared" si="37"/>
        <v/>
      </c>
      <c r="T162" s="374" t="str">
        <f t="shared" si="42"/>
        <v/>
      </c>
      <c r="U162" s="372"/>
      <c r="V162" s="373"/>
      <c r="W162" s="374" t="str">
        <f t="shared" si="40"/>
        <v/>
      </c>
      <c r="X162" s="375"/>
      <c r="Y162" s="375"/>
      <c r="Z162" s="375"/>
      <c r="AA162" s="376"/>
      <c r="AB162" s="145" t="str">
        <f t="shared" si="43"/>
        <v/>
      </c>
      <c r="AC162" s="341" t="str">
        <f t="shared" si="35"/>
        <v/>
      </c>
      <c r="AD162" s="324"/>
      <c r="AE162" s="342"/>
      <c r="AF162" s="180"/>
      <c r="AG162" s="225"/>
      <c r="AH162" s="236" t="str">
        <f t="shared" si="38"/>
        <v/>
      </c>
    </row>
    <row r="163" spans="1:34">
      <c r="A163" s="109">
        <v>154</v>
      </c>
      <c r="B163" s="141">
        <v>154</v>
      </c>
      <c r="C163" s="142" t="str">
        <f t="shared" si="39"/>
        <v/>
      </c>
      <c r="D163" s="371" t="str">
        <f t="shared" si="44"/>
        <v/>
      </c>
      <c r="E163" s="372"/>
      <c r="F163" s="372"/>
      <c r="G163" s="372"/>
      <c r="H163" s="372"/>
      <c r="I163" s="372"/>
      <c r="J163" s="373"/>
      <c r="K163" s="176" t="str">
        <f t="shared" si="41"/>
        <v/>
      </c>
      <c r="L163" s="177"/>
      <c r="M163" s="177"/>
      <c r="N163" s="177"/>
      <c r="O163" s="177"/>
      <c r="P163" s="177"/>
      <c r="Q163" s="144"/>
      <c r="R163" s="143" t="str">
        <f t="shared" si="36"/>
        <v/>
      </c>
      <c r="S163" s="142" t="str">
        <f t="shared" si="37"/>
        <v/>
      </c>
      <c r="T163" s="374" t="str">
        <f t="shared" si="42"/>
        <v/>
      </c>
      <c r="U163" s="372"/>
      <c r="V163" s="373"/>
      <c r="W163" s="374" t="str">
        <f t="shared" si="40"/>
        <v/>
      </c>
      <c r="X163" s="375"/>
      <c r="Y163" s="375"/>
      <c r="Z163" s="375"/>
      <c r="AA163" s="376"/>
      <c r="AB163" s="145" t="str">
        <f t="shared" si="43"/>
        <v/>
      </c>
      <c r="AC163" s="341" t="str">
        <f t="shared" si="35"/>
        <v/>
      </c>
      <c r="AD163" s="324"/>
      <c r="AE163" s="342"/>
      <c r="AF163" s="180"/>
      <c r="AG163" s="225"/>
      <c r="AH163" s="236" t="str">
        <f t="shared" si="38"/>
        <v/>
      </c>
    </row>
    <row r="164" spans="1:34">
      <c r="A164" s="109">
        <v>155</v>
      </c>
      <c r="B164" s="141">
        <v>155</v>
      </c>
      <c r="C164" s="142" t="str">
        <f t="shared" si="39"/>
        <v/>
      </c>
      <c r="D164" s="371" t="str">
        <f t="shared" si="44"/>
        <v/>
      </c>
      <c r="E164" s="372"/>
      <c r="F164" s="372"/>
      <c r="G164" s="372"/>
      <c r="H164" s="372"/>
      <c r="I164" s="372"/>
      <c r="J164" s="373"/>
      <c r="K164" s="176" t="str">
        <f t="shared" si="41"/>
        <v/>
      </c>
      <c r="L164" s="177"/>
      <c r="M164" s="177"/>
      <c r="N164" s="177"/>
      <c r="O164" s="177"/>
      <c r="P164" s="177"/>
      <c r="Q164" s="144"/>
      <c r="R164" s="143" t="str">
        <f t="shared" si="36"/>
        <v/>
      </c>
      <c r="S164" s="142" t="str">
        <f t="shared" si="37"/>
        <v/>
      </c>
      <c r="T164" s="374" t="str">
        <f t="shared" si="42"/>
        <v/>
      </c>
      <c r="U164" s="372"/>
      <c r="V164" s="373"/>
      <c r="W164" s="374" t="str">
        <f t="shared" si="40"/>
        <v/>
      </c>
      <c r="X164" s="375"/>
      <c r="Y164" s="375"/>
      <c r="Z164" s="375"/>
      <c r="AA164" s="376"/>
      <c r="AB164" s="145" t="str">
        <f t="shared" si="43"/>
        <v/>
      </c>
      <c r="AC164" s="341" t="str">
        <f t="shared" si="35"/>
        <v/>
      </c>
      <c r="AD164" s="324"/>
      <c r="AE164" s="342"/>
      <c r="AF164" s="180"/>
      <c r="AG164" s="225"/>
      <c r="AH164" s="236" t="str">
        <f t="shared" si="38"/>
        <v/>
      </c>
    </row>
    <row r="165" spans="1:34">
      <c r="A165" s="109">
        <v>156</v>
      </c>
      <c r="B165" s="141">
        <v>156</v>
      </c>
      <c r="C165" s="142" t="str">
        <f t="shared" si="39"/>
        <v/>
      </c>
      <c r="D165" s="371" t="str">
        <f t="shared" si="44"/>
        <v/>
      </c>
      <c r="E165" s="372"/>
      <c r="F165" s="372"/>
      <c r="G165" s="372"/>
      <c r="H165" s="372"/>
      <c r="I165" s="372"/>
      <c r="J165" s="373"/>
      <c r="K165" s="176" t="str">
        <f t="shared" si="41"/>
        <v/>
      </c>
      <c r="L165" s="177"/>
      <c r="M165" s="177"/>
      <c r="N165" s="177"/>
      <c r="O165" s="177"/>
      <c r="P165" s="177"/>
      <c r="Q165" s="144"/>
      <c r="R165" s="143" t="str">
        <f t="shared" ref="R165:R209" si="45">IF(IF(ISNA(VLOOKUP(A165,StartList,7,FALSE)),"",VLOOKUP(A165,StartList,7,FALSE))=0,"",IF(ISNA(VLOOKUP(A165,StartList,7,FALSE)),"",VLOOKUP(A165,StartList,7,FALSE)))</f>
        <v/>
      </c>
      <c r="S165" s="142" t="str">
        <f t="shared" ref="S165:S209" si="46">IF(IF(ISNA(VLOOKUP(A165,StartList,6,FALSE)),"",VLOOKUP(A165,StartList,6,FALSE))=0,"",IF(ISNA(VLOOKUP(A165,StartList,6,FALSE)),"",VLOOKUP(A165,StartList,6,FALSE)))</f>
        <v/>
      </c>
      <c r="T165" s="374" t="str">
        <f t="shared" si="42"/>
        <v/>
      </c>
      <c r="U165" s="372"/>
      <c r="V165" s="373"/>
      <c r="W165" s="374" t="str">
        <f t="shared" si="40"/>
        <v/>
      </c>
      <c r="X165" s="375"/>
      <c r="Y165" s="375"/>
      <c r="Z165" s="375"/>
      <c r="AA165" s="376"/>
      <c r="AB165" s="145" t="str">
        <f t="shared" si="43"/>
        <v/>
      </c>
      <c r="AC165" s="341" t="str">
        <f t="shared" si="35"/>
        <v/>
      </c>
      <c r="AD165" s="324"/>
      <c r="AE165" s="342"/>
      <c r="AF165" s="180"/>
      <c r="AG165" s="225"/>
      <c r="AH165" s="236" t="str">
        <f t="shared" ref="AH165:AH174" si="47">IF(T165="","",(T165-$T$10)/$T$10)</f>
        <v/>
      </c>
    </row>
    <row r="166" spans="1:34">
      <c r="A166" s="109">
        <v>157</v>
      </c>
      <c r="B166" s="141">
        <v>157</v>
      </c>
      <c r="C166" s="142" t="str">
        <f t="shared" si="39"/>
        <v/>
      </c>
      <c r="D166" s="371" t="str">
        <f t="shared" si="44"/>
        <v/>
      </c>
      <c r="E166" s="372"/>
      <c r="F166" s="372"/>
      <c r="G166" s="372"/>
      <c r="H166" s="372"/>
      <c r="I166" s="372"/>
      <c r="J166" s="373"/>
      <c r="K166" s="176" t="str">
        <f t="shared" si="41"/>
        <v/>
      </c>
      <c r="L166" s="177"/>
      <c r="M166" s="177"/>
      <c r="N166" s="177"/>
      <c r="O166" s="177"/>
      <c r="P166" s="177"/>
      <c r="Q166" s="144"/>
      <c r="R166" s="143" t="str">
        <f t="shared" si="45"/>
        <v/>
      </c>
      <c r="S166" s="142" t="str">
        <f t="shared" si="46"/>
        <v/>
      </c>
      <c r="T166" s="374" t="str">
        <f t="shared" si="42"/>
        <v/>
      </c>
      <c r="U166" s="372"/>
      <c r="V166" s="373"/>
      <c r="W166" s="374" t="str">
        <f t="shared" si="40"/>
        <v/>
      </c>
      <c r="X166" s="375"/>
      <c r="Y166" s="375"/>
      <c r="Z166" s="375"/>
      <c r="AA166" s="376"/>
      <c r="AB166" s="145" t="str">
        <f t="shared" si="43"/>
        <v/>
      </c>
      <c r="AC166" s="341" t="str">
        <f t="shared" si="35"/>
        <v/>
      </c>
      <c r="AD166" s="324"/>
      <c r="AE166" s="342"/>
      <c r="AF166" s="180"/>
      <c r="AG166" s="225"/>
      <c r="AH166" s="236" t="str">
        <f t="shared" si="47"/>
        <v/>
      </c>
    </row>
    <row r="167" spans="1:34">
      <c r="A167" s="109">
        <v>158</v>
      </c>
      <c r="B167" s="141">
        <v>158</v>
      </c>
      <c r="C167" s="142" t="str">
        <f t="shared" si="39"/>
        <v/>
      </c>
      <c r="D167" s="371" t="str">
        <f t="shared" si="44"/>
        <v/>
      </c>
      <c r="E167" s="372"/>
      <c r="F167" s="372"/>
      <c r="G167" s="372"/>
      <c r="H167" s="372"/>
      <c r="I167" s="372"/>
      <c r="J167" s="373"/>
      <c r="K167" s="176" t="str">
        <f t="shared" si="41"/>
        <v/>
      </c>
      <c r="L167" s="177"/>
      <c r="M167" s="177"/>
      <c r="N167" s="177"/>
      <c r="O167" s="177"/>
      <c r="P167" s="177"/>
      <c r="Q167" s="144"/>
      <c r="R167" s="143" t="str">
        <f t="shared" si="45"/>
        <v/>
      </c>
      <c r="S167" s="142" t="str">
        <f t="shared" si="46"/>
        <v/>
      </c>
      <c r="T167" s="374" t="str">
        <f t="shared" si="42"/>
        <v/>
      </c>
      <c r="U167" s="372"/>
      <c r="V167" s="373"/>
      <c r="W167" s="374" t="str">
        <f t="shared" si="40"/>
        <v/>
      </c>
      <c r="X167" s="375"/>
      <c r="Y167" s="375"/>
      <c r="Z167" s="375"/>
      <c r="AA167" s="376"/>
      <c r="AB167" s="145" t="str">
        <f t="shared" si="43"/>
        <v/>
      </c>
      <c r="AC167" s="341" t="str">
        <f t="shared" si="35"/>
        <v/>
      </c>
      <c r="AD167" s="324"/>
      <c r="AE167" s="342"/>
      <c r="AF167" s="180"/>
      <c r="AG167" s="225"/>
      <c r="AH167" s="236" t="str">
        <f t="shared" si="47"/>
        <v/>
      </c>
    </row>
    <row r="168" spans="1:34">
      <c r="A168" s="109">
        <v>159</v>
      </c>
      <c r="B168" s="141">
        <v>159</v>
      </c>
      <c r="C168" s="142" t="str">
        <f t="shared" si="39"/>
        <v/>
      </c>
      <c r="D168" s="371" t="str">
        <f t="shared" si="44"/>
        <v/>
      </c>
      <c r="E168" s="372"/>
      <c r="F168" s="372"/>
      <c r="G168" s="372"/>
      <c r="H168" s="372"/>
      <c r="I168" s="372"/>
      <c r="J168" s="373"/>
      <c r="K168" s="176" t="str">
        <f t="shared" si="41"/>
        <v/>
      </c>
      <c r="L168" s="177"/>
      <c r="M168" s="177"/>
      <c r="N168" s="177"/>
      <c r="O168" s="177"/>
      <c r="P168" s="177"/>
      <c r="Q168" s="144"/>
      <c r="R168" s="143" t="str">
        <f t="shared" si="45"/>
        <v/>
      </c>
      <c r="S168" s="142" t="str">
        <f t="shared" si="46"/>
        <v/>
      </c>
      <c r="T168" s="374" t="str">
        <f t="shared" si="42"/>
        <v/>
      </c>
      <c r="U168" s="372"/>
      <c r="V168" s="373"/>
      <c r="W168" s="374" t="str">
        <f t="shared" si="40"/>
        <v/>
      </c>
      <c r="X168" s="375"/>
      <c r="Y168" s="375"/>
      <c r="Z168" s="375"/>
      <c r="AA168" s="376"/>
      <c r="AB168" s="145" t="str">
        <f t="shared" si="43"/>
        <v/>
      </c>
      <c r="AC168" s="341" t="str">
        <f t="shared" si="35"/>
        <v/>
      </c>
      <c r="AD168" s="324"/>
      <c r="AE168" s="342"/>
      <c r="AF168" s="180"/>
      <c r="AG168" s="225"/>
      <c r="AH168" s="236" t="str">
        <f t="shared" si="47"/>
        <v/>
      </c>
    </row>
    <row r="169" spans="1:34">
      <c r="A169" s="109">
        <v>160</v>
      </c>
      <c r="B169" s="141">
        <v>160</v>
      </c>
      <c r="C169" s="142" t="str">
        <f t="shared" si="39"/>
        <v/>
      </c>
      <c r="D169" s="371" t="str">
        <f t="shared" si="44"/>
        <v/>
      </c>
      <c r="E169" s="372"/>
      <c r="F169" s="372"/>
      <c r="G169" s="372"/>
      <c r="H169" s="372"/>
      <c r="I169" s="372"/>
      <c r="J169" s="373"/>
      <c r="K169" s="176" t="str">
        <f t="shared" si="41"/>
        <v/>
      </c>
      <c r="L169" s="177"/>
      <c r="M169" s="177"/>
      <c r="N169" s="177"/>
      <c r="O169" s="177"/>
      <c r="P169" s="177"/>
      <c r="Q169" s="144"/>
      <c r="R169" s="143" t="str">
        <f t="shared" si="45"/>
        <v/>
      </c>
      <c r="S169" s="142" t="str">
        <f t="shared" si="46"/>
        <v/>
      </c>
      <c r="T169" s="374" t="str">
        <f t="shared" si="42"/>
        <v/>
      </c>
      <c r="U169" s="372"/>
      <c r="V169" s="373"/>
      <c r="W169" s="374" t="str">
        <f t="shared" si="40"/>
        <v/>
      </c>
      <c r="X169" s="375"/>
      <c r="Y169" s="375"/>
      <c r="Z169" s="375"/>
      <c r="AA169" s="376"/>
      <c r="AB169" s="145" t="str">
        <f t="shared" si="43"/>
        <v/>
      </c>
      <c r="AC169" s="341" t="str">
        <f t="shared" si="35"/>
        <v/>
      </c>
      <c r="AD169" s="324"/>
      <c r="AE169" s="342"/>
      <c r="AF169" s="180"/>
      <c r="AG169" s="225"/>
      <c r="AH169" s="236" t="str">
        <f t="shared" si="47"/>
        <v/>
      </c>
    </row>
    <row r="170" spans="1:34">
      <c r="A170" s="109">
        <v>161</v>
      </c>
      <c r="B170" s="141">
        <v>161</v>
      </c>
      <c r="C170" s="142" t="str">
        <f t="shared" si="39"/>
        <v/>
      </c>
      <c r="D170" s="371" t="str">
        <f t="shared" si="44"/>
        <v/>
      </c>
      <c r="E170" s="372"/>
      <c r="F170" s="372"/>
      <c r="G170" s="372"/>
      <c r="H170" s="372"/>
      <c r="I170" s="372"/>
      <c r="J170" s="373"/>
      <c r="K170" s="176" t="str">
        <f t="shared" si="41"/>
        <v/>
      </c>
      <c r="L170" s="177"/>
      <c r="M170" s="177"/>
      <c r="N170" s="177"/>
      <c r="O170" s="177"/>
      <c r="P170" s="177"/>
      <c r="Q170" s="144"/>
      <c r="R170" s="143" t="str">
        <f t="shared" si="45"/>
        <v/>
      </c>
      <c r="S170" s="142" t="str">
        <f t="shared" si="46"/>
        <v/>
      </c>
      <c r="T170" s="374" t="str">
        <f t="shared" si="42"/>
        <v/>
      </c>
      <c r="U170" s="372"/>
      <c r="V170" s="373"/>
      <c r="W170" s="374" t="str">
        <f t="shared" ref="W170:W201" si="48">IF(IF(ISNA(VLOOKUP(A170,StartList,13,FALSE)),"",VLOOKUP(A170,StartList,13,FALSE))=0,"",IF(ISNA(VLOOKUP(A170,StartList,13,FALSE)),"",VLOOKUP(A170,StartList,13,FALSE)))</f>
        <v/>
      </c>
      <c r="X170" s="375"/>
      <c r="Y170" s="375"/>
      <c r="Z170" s="375"/>
      <c r="AA170" s="376"/>
      <c r="AB170" s="145" t="str">
        <f t="shared" si="43"/>
        <v/>
      </c>
      <c r="AC170" s="341" t="str">
        <f t="shared" si="35"/>
        <v/>
      </c>
      <c r="AD170" s="324"/>
      <c r="AE170" s="342"/>
      <c r="AF170" s="180"/>
      <c r="AG170" s="225"/>
      <c r="AH170" s="236" t="str">
        <f t="shared" si="47"/>
        <v/>
      </c>
    </row>
    <row r="171" spans="1:34">
      <c r="A171" s="109">
        <v>162</v>
      </c>
      <c r="B171" s="141">
        <v>162</v>
      </c>
      <c r="C171" s="142" t="str">
        <f t="shared" si="39"/>
        <v/>
      </c>
      <c r="D171" s="371" t="str">
        <f t="shared" si="44"/>
        <v/>
      </c>
      <c r="E171" s="372"/>
      <c r="F171" s="372"/>
      <c r="G171" s="372"/>
      <c r="H171" s="372"/>
      <c r="I171" s="372"/>
      <c r="J171" s="373"/>
      <c r="K171" s="176" t="str">
        <f t="shared" si="41"/>
        <v/>
      </c>
      <c r="L171" s="177"/>
      <c r="M171" s="177"/>
      <c r="N171" s="177"/>
      <c r="O171" s="177"/>
      <c r="P171" s="177"/>
      <c r="Q171" s="144"/>
      <c r="R171" s="143" t="str">
        <f t="shared" si="45"/>
        <v/>
      </c>
      <c r="S171" s="142" t="str">
        <f t="shared" si="46"/>
        <v/>
      </c>
      <c r="T171" s="374" t="str">
        <f t="shared" si="42"/>
        <v/>
      </c>
      <c r="U171" s="372"/>
      <c r="V171" s="373"/>
      <c r="W171" s="374" t="str">
        <f t="shared" si="48"/>
        <v/>
      </c>
      <c r="X171" s="375"/>
      <c r="Y171" s="375"/>
      <c r="Z171" s="375"/>
      <c r="AA171" s="376"/>
      <c r="AB171" s="145" t="str">
        <f t="shared" si="43"/>
        <v/>
      </c>
      <c r="AC171" s="341" t="str">
        <f t="shared" ref="AC171:AC174" si="49">IF(IF(ISNA(VLOOKUP(A171,StartList,17,FALSE)),"",VLOOKUP(A171,StartList,17,FALSE))=0,"",IF(ISNA(VLOOKUP(A171,StartList,17,FALSE)),"",VLOOKUP(A171,StartList,17,FALSE)))</f>
        <v/>
      </c>
      <c r="AD171" s="324"/>
      <c r="AE171" s="342"/>
      <c r="AF171" s="180"/>
      <c r="AG171" s="225"/>
      <c r="AH171" s="236" t="str">
        <f t="shared" si="47"/>
        <v/>
      </c>
    </row>
    <row r="172" spans="1:34">
      <c r="A172" s="109">
        <v>163</v>
      </c>
      <c r="B172" s="141">
        <v>163</v>
      </c>
      <c r="C172" s="142" t="str">
        <f t="shared" si="39"/>
        <v/>
      </c>
      <c r="D172" s="371" t="str">
        <f t="shared" si="44"/>
        <v/>
      </c>
      <c r="E172" s="372"/>
      <c r="F172" s="372"/>
      <c r="G172" s="372"/>
      <c r="H172" s="372"/>
      <c r="I172" s="372"/>
      <c r="J172" s="373"/>
      <c r="K172" s="176" t="str">
        <f t="shared" si="41"/>
        <v/>
      </c>
      <c r="L172" s="177"/>
      <c r="M172" s="177"/>
      <c r="N172" s="177"/>
      <c r="O172" s="177"/>
      <c r="P172" s="177"/>
      <c r="Q172" s="144"/>
      <c r="R172" s="143" t="str">
        <f t="shared" si="45"/>
        <v/>
      </c>
      <c r="S172" s="142" t="str">
        <f t="shared" si="46"/>
        <v/>
      </c>
      <c r="T172" s="374" t="str">
        <f t="shared" si="42"/>
        <v/>
      </c>
      <c r="U172" s="372"/>
      <c r="V172" s="373"/>
      <c r="W172" s="374" t="str">
        <f t="shared" si="48"/>
        <v/>
      </c>
      <c r="X172" s="375"/>
      <c r="Y172" s="375"/>
      <c r="Z172" s="375"/>
      <c r="AA172" s="376"/>
      <c r="AB172" s="145" t="str">
        <f t="shared" si="43"/>
        <v/>
      </c>
      <c r="AC172" s="341" t="str">
        <f t="shared" si="49"/>
        <v/>
      </c>
      <c r="AD172" s="324"/>
      <c r="AE172" s="342"/>
      <c r="AF172" s="180"/>
      <c r="AG172" s="225"/>
      <c r="AH172" s="236" t="str">
        <f t="shared" si="47"/>
        <v/>
      </c>
    </row>
    <row r="173" spans="1:34">
      <c r="A173" s="109">
        <v>164</v>
      </c>
      <c r="B173" s="141">
        <v>164</v>
      </c>
      <c r="C173" s="142" t="str">
        <f t="shared" si="39"/>
        <v/>
      </c>
      <c r="D173" s="371" t="str">
        <f t="shared" si="44"/>
        <v/>
      </c>
      <c r="E173" s="372"/>
      <c r="F173" s="372"/>
      <c r="G173" s="372"/>
      <c r="H173" s="372"/>
      <c r="I173" s="372"/>
      <c r="J173" s="373"/>
      <c r="K173" s="176" t="str">
        <f t="shared" si="41"/>
        <v/>
      </c>
      <c r="L173" s="177"/>
      <c r="M173" s="177"/>
      <c r="N173" s="177"/>
      <c r="O173" s="177"/>
      <c r="P173" s="177"/>
      <c r="Q173" s="144"/>
      <c r="R173" s="143" t="str">
        <f t="shared" si="45"/>
        <v/>
      </c>
      <c r="S173" s="142" t="str">
        <f t="shared" si="46"/>
        <v/>
      </c>
      <c r="T173" s="374" t="str">
        <f t="shared" si="42"/>
        <v/>
      </c>
      <c r="U173" s="372"/>
      <c r="V173" s="373"/>
      <c r="W173" s="374" t="str">
        <f t="shared" si="48"/>
        <v/>
      </c>
      <c r="X173" s="375"/>
      <c r="Y173" s="375"/>
      <c r="Z173" s="375"/>
      <c r="AA173" s="376"/>
      <c r="AB173" s="145" t="str">
        <f t="shared" si="43"/>
        <v/>
      </c>
      <c r="AC173" s="341" t="str">
        <f t="shared" si="49"/>
        <v/>
      </c>
      <c r="AD173" s="324"/>
      <c r="AE173" s="342"/>
      <c r="AF173" s="180"/>
      <c r="AG173" s="225"/>
      <c r="AH173" s="236" t="str">
        <f t="shared" si="47"/>
        <v/>
      </c>
    </row>
    <row r="174" spans="1:34">
      <c r="A174" s="109">
        <v>165</v>
      </c>
      <c r="B174" s="141">
        <v>165</v>
      </c>
      <c r="C174" s="142" t="str">
        <f t="shared" si="39"/>
        <v/>
      </c>
      <c r="D174" s="176" t="str">
        <f t="shared" ref="D174:D209" si="50">IF(IF(ISNA(VLOOKUP(A174,StartList,4,FALSE)),"",VLOOKUP(A174,StartList,4,FALSE))=0,"",IF(ISNA(VLOOKUP(A174,StartList,4,FALSE)),"",VLOOKUP(A174,StartList,4,FALSE)))</f>
        <v/>
      </c>
      <c r="E174" s="192"/>
      <c r="F174" s="192"/>
      <c r="G174" s="192"/>
      <c r="H174" s="192"/>
      <c r="I174" s="192"/>
      <c r="J174" s="47"/>
      <c r="K174" s="176" t="str">
        <f t="shared" si="41"/>
        <v/>
      </c>
      <c r="L174" s="177"/>
      <c r="M174" s="177"/>
      <c r="N174" s="177"/>
      <c r="O174" s="177"/>
      <c r="P174" s="177"/>
      <c r="Q174" s="144"/>
      <c r="R174" s="143" t="str">
        <f t="shared" si="45"/>
        <v/>
      </c>
      <c r="S174" s="142" t="str">
        <f t="shared" si="46"/>
        <v/>
      </c>
      <c r="T174" s="374" t="str">
        <f t="shared" si="42"/>
        <v/>
      </c>
      <c r="U174" s="372"/>
      <c r="V174" s="373"/>
      <c r="W174" s="374" t="str">
        <f t="shared" si="48"/>
        <v/>
      </c>
      <c r="X174" s="372"/>
      <c r="Y174" s="372"/>
      <c r="Z174" s="372"/>
      <c r="AA174" s="373"/>
      <c r="AB174" s="145" t="str">
        <f t="shared" si="43"/>
        <v/>
      </c>
      <c r="AC174" s="341" t="str">
        <f t="shared" si="49"/>
        <v/>
      </c>
      <c r="AD174" s="324"/>
      <c r="AE174" s="342"/>
      <c r="AF174" s="180"/>
      <c r="AG174" s="225"/>
      <c r="AH174" s="236" t="str">
        <f t="shared" si="47"/>
        <v/>
      </c>
    </row>
    <row r="175" spans="1:34">
      <c r="A175" s="109">
        <v>166</v>
      </c>
      <c r="B175" s="141">
        <v>166</v>
      </c>
      <c r="C175" s="142" t="str">
        <f t="shared" si="39"/>
        <v/>
      </c>
      <c r="D175" s="176" t="str">
        <f t="shared" si="50"/>
        <v/>
      </c>
      <c r="E175" s="192"/>
      <c r="F175" s="192"/>
      <c r="G175" s="192"/>
      <c r="H175" s="192"/>
      <c r="I175" s="192"/>
      <c r="J175" s="47"/>
      <c r="K175" s="176" t="str">
        <f t="shared" si="41"/>
        <v/>
      </c>
      <c r="L175" s="177"/>
      <c r="M175" s="177"/>
      <c r="N175" s="177"/>
      <c r="O175" s="177"/>
      <c r="P175" s="177"/>
      <c r="Q175" s="144"/>
      <c r="R175" s="143" t="str">
        <f t="shared" si="45"/>
        <v/>
      </c>
      <c r="S175" s="142" t="str">
        <f t="shared" si="46"/>
        <v/>
      </c>
      <c r="T175" s="374" t="str">
        <f t="shared" ref="T175:T199" si="51">IF(IF(ISNA(VLOOKUP(A175,StartList,10,FALSE)),"",VLOOKUP(A175,StartList,10,FALSE))=0,"",IF(ISNA(VLOOKUP(A175,StartList,10,FALSE)),"",VLOOKUP(A175,StartList,10,FALSE)))</f>
        <v/>
      </c>
      <c r="U175" s="372"/>
      <c r="V175" s="373"/>
      <c r="W175" s="374" t="str">
        <f t="shared" si="48"/>
        <v/>
      </c>
      <c r="X175" s="372"/>
      <c r="Y175" s="372"/>
      <c r="Z175" s="372"/>
      <c r="AA175" s="373"/>
      <c r="AB175" s="145" t="str">
        <f t="shared" ref="AB175:AB209" si="52">IF(IF(ISNA(VLOOKUP(A175,StartList,16,FALSE)),"",VLOOKUP(A175,StartList,16,FALSE))=0,"",IF(ISNA(VLOOKUP(A175,StartList,16,FALSE)),"",VLOOKUP(A175,StartList,16,FALSE)))</f>
        <v/>
      </c>
      <c r="AC175" s="341" t="str">
        <f t="shared" ref="AC175:AC199" si="53">IF(IF(ISNA(VLOOKUP(A175,StartList,17,FALSE)),"",VLOOKUP(A175,StartList,17,FALSE))=0,"",IF(ISNA(VLOOKUP(A175,StartList,17,FALSE)),"",VLOOKUP(A175,StartList,17,FALSE)))</f>
        <v/>
      </c>
      <c r="AD175" s="324"/>
      <c r="AE175" s="342"/>
      <c r="AF175" s="180"/>
      <c r="AG175" s="225"/>
      <c r="AH175" s="236" t="str">
        <f t="shared" ref="AH175:AH209" si="54">IF(T175="","",(T175-$T$10)/$T$10)</f>
        <v/>
      </c>
    </row>
    <row r="176" spans="1:34">
      <c r="A176" s="109">
        <v>167</v>
      </c>
      <c r="B176" s="141">
        <v>167</v>
      </c>
      <c r="C176" s="142" t="str">
        <f t="shared" si="39"/>
        <v/>
      </c>
      <c r="D176" s="176" t="str">
        <f t="shared" si="50"/>
        <v/>
      </c>
      <c r="E176" s="192"/>
      <c r="F176" s="192"/>
      <c r="G176" s="192"/>
      <c r="H176" s="192"/>
      <c r="I176" s="192"/>
      <c r="J176" s="47"/>
      <c r="K176" s="176" t="str">
        <f t="shared" si="41"/>
        <v/>
      </c>
      <c r="L176" s="177"/>
      <c r="M176" s="177"/>
      <c r="N176" s="177"/>
      <c r="O176" s="177"/>
      <c r="P176" s="177"/>
      <c r="Q176" s="144"/>
      <c r="R176" s="143" t="str">
        <f t="shared" si="45"/>
        <v/>
      </c>
      <c r="S176" s="142" t="str">
        <f t="shared" si="46"/>
        <v/>
      </c>
      <c r="T176" s="374" t="str">
        <f t="shared" si="51"/>
        <v/>
      </c>
      <c r="U176" s="372"/>
      <c r="V176" s="373"/>
      <c r="W176" s="374" t="str">
        <f t="shared" si="48"/>
        <v/>
      </c>
      <c r="X176" s="372"/>
      <c r="Y176" s="372"/>
      <c r="Z176" s="372"/>
      <c r="AA176" s="373"/>
      <c r="AB176" s="145" t="str">
        <f t="shared" si="52"/>
        <v/>
      </c>
      <c r="AC176" s="341" t="str">
        <f t="shared" si="53"/>
        <v/>
      </c>
      <c r="AD176" s="324"/>
      <c r="AE176" s="342"/>
      <c r="AF176" s="180"/>
      <c r="AG176" s="225"/>
      <c r="AH176" s="236" t="str">
        <f t="shared" si="54"/>
        <v/>
      </c>
    </row>
    <row r="177" spans="1:34">
      <c r="A177" s="109">
        <v>168</v>
      </c>
      <c r="B177" s="141">
        <v>168</v>
      </c>
      <c r="C177" s="142" t="str">
        <f t="shared" si="39"/>
        <v/>
      </c>
      <c r="D177" s="176" t="str">
        <f t="shared" si="50"/>
        <v/>
      </c>
      <c r="E177" s="192"/>
      <c r="F177" s="192"/>
      <c r="G177" s="192"/>
      <c r="H177" s="192"/>
      <c r="I177" s="192"/>
      <c r="J177" s="47"/>
      <c r="K177" s="176" t="str">
        <f t="shared" si="41"/>
        <v/>
      </c>
      <c r="L177" s="177"/>
      <c r="M177" s="177"/>
      <c r="N177" s="177"/>
      <c r="O177" s="177"/>
      <c r="P177" s="177"/>
      <c r="Q177" s="144"/>
      <c r="R177" s="143" t="str">
        <f t="shared" si="45"/>
        <v/>
      </c>
      <c r="S177" s="142" t="str">
        <f t="shared" si="46"/>
        <v/>
      </c>
      <c r="T177" s="374" t="str">
        <f t="shared" si="51"/>
        <v/>
      </c>
      <c r="U177" s="372"/>
      <c r="V177" s="373"/>
      <c r="W177" s="374" t="str">
        <f t="shared" si="48"/>
        <v/>
      </c>
      <c r="X177" s="372"/>
      <c r="Y177" s="372"/>
      <c r="Z177" s="372"/>
      <c r="AA177" s="373"/>
      <c r="AB177" s="145" t="str">
        <f t="shared" si="52"/>
        <v/>
      </c>
      <c r="AC177" s="341" t="str">
        <f t="shared" si="53"/>
        <v/>
      </c>
      <c r="AD177" s="324"/>
      <c r="AE177" s="342"/>
      <c r="AF177" s="180"/>
      <c r="AG177" s="225"/>
      <c r="AH177" s="236" t="str">
        <f t="shared" si="54"/>
        <v/>
      </c>
    </row>
    <row r="178" spans="1:34">
      <c r="A178" s="109">
        <v>169</v>
      </c>
      <c r="B178" s="141">
        <v>169</v>
      </c>
      <c r="C178" s="142" t="str">
        <f t="shared" si="39"/>
        <v/>
      </c>
      <c r="D178" s="176" t="str">
        <f t="shared" si="50"/>
        <v/>
      </c>
      <c r="E178" s="192"/>
      <c r="F178" s="192"/>
      <c r="G178" s="192"/>
      <c r="H178" s="192"/>
      <c r="I178" s="192"/>
      <c r="J178" s="47"/>
      <c r="K178" s="176" t="str">
        <f t="shared" si="41"/>
        <v/>
      </c>
      <c r="L178" s="177"/>
      <c r="M178" s="177"/>
      <c r="N178" s="177"/>
      <c r="O178" s="177"/>
      <c r="P178" s="177"/>
      <c r="Q178" s="144"/>
      <c r="R178" s="143" t="str">
        <f t="shared" si="45"/>
        <v/>
      </c>
      <c r="S178" s="142" t="str">
        <f t="shared" si="46"/>
        <v/>
      </c>
      <c r="T178" s="374" t="str">
        <f t="shared" si="51"/>
        <v/>
      </c>
      <c r="U178" s="372"/>
      <c r="V178" s="373"/>
      <c r="W178" s="374" t="str">
        <f t="shared" si="48"/>
        <v/>
      </c>
      <c r="X178" s="372"/>
      <c r="Y178" s="372"/>
      <c r="Z178" s="372"/>
      <c r="AA178" s="373"/>
      <c r="AB178" s="145" t="str">
        <f t="shared" si="52"/>
        <v/>
      </c>
      <c r="AC178" s="341" t="str">
        <f t="shared" si="53"/>
        <v/>
      </c>
      <c r="AD178" s="324"/>
      <c r="AE178" s="342"/>
      <c r="AF178" s="180"/>
      <c r="AG178" s="225"/>
      <c r="AH178" s="236" t="str">
        <f t="shared" si="54"/>
        <v/>
      </c>
    </row>
    <row r="179" spans="1:34">
      <c r="A179" s="109">
        <v>170</v>
      </c>
      <c r="B179" s="227">
        <v>170</v>
      </c>
      <c r="C179" s="142" t="str">
        <f t="shared" si="39"/>
        <v/>
      </c>
      <c r="D179" s="176" t="str">
        <f t="shared" si="50"/>
        <v/>
      </c>
      <c r="E179" s="192"/>
      <c r="F179" s="192"/>
      <c r="G179" s="192"/>
      <c r="H179" s="192"/>
      <c r="I179" s="192"/>
      <c r="J179" s="47"/>
      <c r="K179" s="176" t="str">
        <f t="shared" si="41"/>
        <v/>
      </c>
      <c r="L179" s="177"/>
      <c r="M179" s="177"/>
      <c r="N179" s="177"/>
      <c r="O179" s="177"/>
      <c r="P179" s="177"/>
      <c r="Q179" s="144"/>
      <c r="R179" s="143" t="str">
        <f t="shared" si="45"/>
        <v/>
      </c>
      <c r="S179" s="142" t="str">
        <f t="shared" si="46"/>
        <v/>
      </c>
      <c r="T179" s="374" t="str">
        <f t="shared" si="51"/>
        <v/>
      </c>
      <c r="U179" s="372"/>
      <c r="V179" s="373"/>
      <c r="W179" s="374" t="str">
        <f t="shared" si="48"/>
        <v/>
      </c>
      <c r="X179" s="372"/>
      <c r="Y179" s="372"/>
      <c r="Z179" s="372"/>
      <c r="AA179" s="373"/>
      <c r="AB179" s="145" t="str">
        <f t="shared" si="52"/>
        <v/>
      </c>
      <c r="AC179" s="341" t="str">
        <f t="shared" si="53"/>
        <v/>
      </c>
      <c r="AD179" s="324"/>
      <c r="AE179" s="342"/>
      <c r="AF179" s="180"/>
      <c r="AG179" s="225"/>
      <c r="AH179" s="236" t="str">
        <f t="shared" si="54"/>
        <v/>
      </c>
    </row>
    <row r="180" spans="1:34">
      <c r="A180" s="109">
        <v>171</v>
      </c>
      <c r="B180" s="227">
        <v>171</v>
      </c>
      <c r="C180" s="142" t="str">
        <f t="shared" si="39"/>
        <v/>
      </c>
      <c r="D180" s="176" t="str">
        <f t="shared" si="50"/>
        <v/>
      </c>
      <c r="E180" s="192"/>
      <c r="F180" s="192"/>
      <c r="G180" s="192"/>
      <c r="H180" s="192"/>
      <c r="I180" s="192"/>
      <c r="J180" s="47"/>
      <c r="K180" s="176" t="str">
        <f t="shared" si="41"/>
        <v/>
      </c>
      <c r="L180" s="177"/>
      <c r="M180" s="177"/>
      <c r="N180" s="177"/>
      <c r="O180" s="177"/>
      <c r="P180" s="177"/>
      <c r="Q180" s="144"/>
      <c r="R180" s="143" t="str">
        <f t="shared" si="45"/>
        <v/>
      </c>
      <c r="S180" s="142" t="str">
        <f t="shared" si="46"/>
        <v/>
      </c>
      <c r="T180" s="374" t="str">
        <f t="shared" si="51"/>
        <v/>
      </c>
      <c r="U180" s="372"/>
      <c r="V180" s="373"/>
      <c r="W180" s="374" t="str">
        <f t="shared" si="48"/>
        <v/>
      </c>
      <c r="X180" s="372"/>
      <c r="Y180" s="372"/>
      <c r="Z180" s="372"/>
      <c r="AA180" s="373"/>
      <c r="AB180" s="145" t="str">
        <f t="shared" si="52"/>
        <v/>
      </c>
      <c r="AC180" s="341" t="str">
        <f t="shared" si="53"/>
        <v/>
      </c>
      <c r="AD180" s="324"/>
      <c r="AE180" s="342"/>
      <c r="AF180" s="180"/>
      <c r="AG180" s="225"/>
      <c r="AH180" s="236" t="str">
        <f t="shared" si="54"/>
        <v/>
      </c>
    </row>
    <row r="181" spans="1:34">
      <c r="A181" s="109">
        <v>172</v>
      </c>
      <c r="B181" s="227">
        <v>172</v>
      </c>
      <c r="C181" s="142" t="str">
        <f t="shared" si="39"/>
        <v/>
      </c>
      <c r="D181" s="176" t="str">
        <f t="shared" si="50"/>
        <v/>
      </c>
      <c r="E181" s="192"/>
      <c r="F181" s="192"/>
      <c r="G181" s="192"/>
      <c r="H181" s="192"/>
      <c r="I181" s="192"/>
      <c r="J181" s="47"/>
      <c r="K181" s="176" t="str">
        <f t="shared" si="41"/>
        <v/>
      </c>
      <c r="L181" s="177"/>
      <c r="M181" s="177"/>
      <c r="N181" s="177"/>
      <c r="O181" s="177"/>
      <c r="P181" s="177"/>
      <c r="Q181" s="144"/>
      <c r="R181" s="143" t="str">
        <f t="shared" si="45"/>
        <v/>
      </c>
      <c r="S181" s="142" t="str">
        <f t="shared" si="46"/>
        <v/>
      </c>
      <c r="T181" s="374" t="str">
        <f t="shared" si="51"/>
        <v/>
      </c>
      <c r="U181" s="372"/>
      <c r="V181" s="373"/>
      <c r="W181" s="374" t="str">
        <f t="shared" si="48"/>
        <v/>
      </c>
      <c r="X181" s="372"/>
      <c r="Y181" s="372"/>
      <c r="Z181" s="372"/>
      <c r="AA181" s="373"/>
      <c r="AB181" s="145" t="str">
        <f t="shared" si="52"/>
        <v/>
      </c>
      <c r="AC181" s="341" t="str">
        <f t="shared" si="53"/>
        <v/>
      </c>
      <c r="AD181" s="324"/>
      <c r="AE181" s="342"/>
      <c r="AF181" s="180"/>
      <c r="AG181" s="225"/>
      <c r="AH181" s="236" t="str">
        <f t="shared" si="54"/>
        <v/>
      </c>
    </row>
    <row r="182" spans="1:34">
      <c r="A182" s="109">
        <v>173</v>
      </c>
      <c r="B182" s="227">
        <v>173</v>
      </c>
      <c r="C182" s="142" t="str">
        <f t="shared" si="39"/>
        <v/>
      </c>
      <c r="D182" s="176" t="str">
        <f t="shared" si="50"/>
        <v/>
      </c>
      <c r="E182" s="192"/>
      <c r="F182" s="192"/>
      <c r="G182" s="192"/>
      <c r="H182" s="192"/>
      <c r="I182" s="192"/>
      <c r="J182" s="47"/>
      <c r="K182" s="176" t="str">
        <f t="shared" si="41"/>
        <v/>
      </c>
      <c r="L182" s="177"/>
      <c r="M182" s="177"/>
      <c r="N182" s="177"/>
      <c r="O182" s="177"/>
      <c r="P182" s="177"/>
      <c r="Q182" s="144"/>
      <c r="R182" s="143" t="str">
        <f t="shared" si="45"/>
        <v/>
      </c>
      <c r="S182" s="142" t="str">
        <f t="shared" si="46"/>
        <v/>
      </c>
      <c r="T182" s="374" t="str">
        <f t="shared" si="51"/>
        <v/>
      </c>
      <c r="U182" s="372"/>
      <c r="V182" s="373"/>
      <c r="W182" s="374" t="str">
        <f t="shared" si="48"/>
        <v/>
      </c>
      <c r="X182" s="372"/>
      <c r="Y182" s="372"/>
      <c r="Z182" s="372"/>
      <c r="AA182" s="373"/>
      <c r="AB182" s="145" t="str">
        <f t="shared" si="52"/>
        <v/>
      </c>
      <c r="AC182" s="341" t="str">
        <f t="shared" si="53"/>
        <v/>
      </c>
      <c r="AD182" s="324"/>
      <c r="AE182" s="342"/>
      <c r="AF182" s="180"/>
      <c r="AG182" s="225"/>
      <c r="AH182" s="236" t="str">
        <f t="shared" si="54"/>
        <v/>
      </c>
    </row>
    <row r="183" spans="1:34">
      <c r="A183" s="109">
        <v>174</v>
      </c>
      <c r="B183" s="227">
        <v>174</v>
      </c>
      <c r="C183" s="142" t="str">
        <f t="shared" si="39"/>
        <v/>
      </c>
      <c r="D183" s="176" t="str">
        <f t="shared" si="50"/>
        <v/>
      </c>
      <c r="E183" s="192"/>
      <c r="F183" s="192"/>
      <c r="G183" s="192"/>
      <c r="H183" s="192"/>
      <c r="I183" s="192"/>
      <c r="J183" s="47"/>
      <c r="K183" s="176" t="str">
        <f t="shared" si="41"/>
        <v/>
      </c>
      <c r="L183" s="177"/>
      <c r="M183" s="177"/>
      <c r="N183" s="177"/>
      <c r="O183" s="177"/>
      <c r="P183" s="177"/>
      <c r="Q183" s="144"/>
      <c r="R183" s="143" t="str">
        <f t="shared" si="45"/>
        <v/>
      </c>
      <c r="S183" s="142" t="str">
        <f t="shared" si="46"/>
        <v/>
      </c>
      <c r="T183" s="374" t="str">
        <f t="shared" si="51"/>
        <v/>
      </c>
      <c r="U183" s="372"/>
      <c r="V183" s="373"/>
      <c r="W183" s="374" t="str">
        <f t="shared" si="48"/>
        <v/>
      </c>
      <c r="X183" s="372"/>
      <c r="Y183" s="372"/>
      <c r="Z183" s="372"/>
      <c r="AA183" s="373"/>
      <c r="AB183" s="145" t="str">
        <f t="shared" si="52"/>
        <v/>
      </c>
      <c r="AC183" s="341" t="str">
        <f t="shared" si="53"/>
        <v/>
      </c>
      <c r="AD183" s="324"/>
      <c r="AE183" s="342"/>
      <c r="AF183" s="180"/>
      <c r="AG183" s="225"/>
      <c r="AH183" s="236" t="str">
        <f t="shared" si="54"/>
        <v/>
      </c>
    </row>
    <row r="184" spans="1:34">
      <c r="A184" s="109">
        <v>175</v>
      </c>
      <c r="B184" s="227">
        <v>175</v>
      </c>
      <c r="C184" s="142" t="str">
        <f t="shared" si="39"/>
        <v/>
      </c>
      <c r="D184" s="176" t="str">
        <f t="shared" si="50"/>
        <v/>
      </c>
      <c r="E184" s="192"/>
      <c r="F184" s="192"/>
      <c r="G184" s="192"/>
      <c r="H184" s="192"/>
      <c r="I184" s="192"/>
      <c r="J184" s="47"/>
      <c r="K184" s="176" t="str">
        <f t="shared" si="41"/>
        <v/>
      </c>
      <c r="L184" s="177"/>
      <c r="M184" s="177"/>
      <c r="N184" s="177"/>
      <c r="O184" s="177"/>
      <c r="P184" s="177"/>
      <c r="Q184" s="144"/>
      <c r="R184" s="143" t="str">
        <f t="shared" si="45"/>
        <v/>
      </c>
      <c r="S184" s="142" t="str">
        <f t="shared" si="46"/>
        <v/>
      </c>
      <c r="T184" s="374" t="str">
        <f t="shared" si="51"/>
        <v/>
      </c>
      <c r="U184" s="372"/>
      <c r="V184" s="373"/>
      <c r="W184" s="374" t="str">
        <f t="shared" si="48"/>
        <v/>
      </c>
      <c r="X184" s="372"/>
      <c r="Y184" s="372"/>
      <c r="Z184" s="372"/>
      <c r="AA184" s="373"/>
      <c r="AB184" s="145" t="str">
        <f t="shared" si="52"/>
        <v/>
      </c>
      <c r="AC184" s="341" t="str">
        <f t="shared" si="53"/>
        <v/>
      </c>
      <c r="AD184" s="324"/>
      <c r="AE184" s="342"/>
      <c r="AF184" s="180"/>
      <c r="AG184" s="225"/>
      <c r="AH184" s="236" t="str">
        <f t="shared" si="54"/>
        <v/>
      </c>
    </row>
    <row r="185" spans="1:34">
      <c r="A185" s="109">
        <v>176</v>
      </c>
      <c r="B185" s="227">
        <v>176</v>
      </c>
      <c r="C185" s="142" t="str">
        <f t="shared" si="39"/>
        <v/>
      </c>
      <c r="D185" s="176" t="str">
        <f t="shared" si="50"/>
        <v/>
      </c>
      <c r="E185" s="192"/>
      <c r="F185" s="192"/>
      <c r="G185" s="192"/>
      <c r="H185" s="192"/>
      <c r="I185" s="192"/>
      <c r="J185" s="47"/>
      <c r="K185" s="176" t="str">
        <f t="shared" si="41"/>
        <v/>
      </c>
      <c r="L185" s="177"/>
      <c r="M185" s="177"/>
      <c r="N185" s="177"/>
      <c r="O185" s="177"/>
      <c r="P185" s="177"/>
      <c r="Q185" s="144"/>
      <c r="R185" s="143" t="str">
        <f t="shared" si="45"/>
        <v/>
      </c>
      <c r="S185" s="142" t="str">
        <f t="shared" si="46"/>
        <v/>
      </c>
      <c r="T185" s="374" t="str">
        <f t="shared" si="51"/>
        <v/>
      </c>
      <c r="U185" s="372"/>
      <c r="V185" s="373"/>
      <c r="W185" s="374" t="str">
        <f t="shared" si="48"/>
        <v/>
      </c>
      <c r="X185" s="372"/>
      <c r="Y185" s="372"/>
      <c r="Z185" s="372"/>
      <c r="AA185" s="373"/>
      <c r="AB185" s="145" t="str">
        <f t="shared" si="52"/>
        <v/>
      </c>
      <c r="AC185" s="341" t="str">
        <f t="shared" si="53"/>
        <v/>
      </c>
      <c r="AD185" s="324"/>
      <c r="AE185" s="342"/>
      <c r="AF185" s="180"/>
      <c r="AG185" s="225"/>
      <c r="AH185" s="236" t="str">
        <f t="shared" si="54"/>
        <v/>
      </c>
    </row>
    <row r="186" spans="1:34">
      <c r="A186" s="109">
        <v>177</v>
      </c>
      <c r="B186" s="227">
        <v>177</v>
      </c>
      <c r="C186" s="142" t="str">
        <f t="shared" si="39"/>
        <v/>
      </c>
      <c r="D186" s="176" t="str">
        <f t="shared" si="50"/>
        <v/>
      </c>
      <c r="E186" s="192"/>
      <c r="F186" s="192"/>
      <c r="G186" s="192"/>
      <c r="H186" s="192"/>
      <c r="I186" s="192"/>
      <c r="J186" s="47"/>
      <c r="K186" s="176" t="str">
        <f t="shared" si="41"/>
        <v/>
      </c>
      <c r="L186" s="177"/>
      <c r="M186" s="177"/>
      <c r="N186" s="177"/>
      <c r="O186" s="177"/>
      <c r="P186" s="177"/>
      <c r="Q186" s="144"/>
      <c r="R186" s="143" t="str">
        <f t="shared" si="45"/>
        <v/>
      </c>
      <c r="S186" s="142" t="str">
        <f t="shared" si="46"/>
        <v/>
      </c>
      <c r="T186" s="374" t="str">
        <f t="shared" si="51"/>
        <v/>
      </c>
      <c r="U186" s="372"/>
      <c r="V186" s="373"/>
      <c r="W186" s="374" t="str">
        <f t="shared" si="48"/>
        <v/>
      </c>
      <c r="X186" s="372"/>
      <c r="Y186" s="372"/>
      <c r="Z186" s="372"/>
      <c r="AA186" s="373"/>
      <c r="AB186" s="145" t="str">
        <f t="shared" si="52"/>
        <v/>
      </c>
      <c r="AC186" s="341" t="str">
        <f t="shared" si="53"/>
        <v/>
      </c>
      <c r="AD186" s="324"/>
      <c r="AE186" s="342"/>
      <c r="AF186" s="180"/>
      <c r="AG186" s="225"/>
      <c r="AH186" s="236" t="str">
        <f t="shared" si="54"/>
        <v/>
      </c>
    </row>
    <row r="187" spans="1:34">
      <c r="A187" s="109">
        <v>178</v>
      </c>
      <c r="B187" s="227">
        <v>178</v>
      </c>
      <c r="C187" s="142" t="str">
        <f t="shared" si="39"/>
        <v/>
      </c>
      <c r="D187" s="176" t="str">
        <f t="shared" si="50"/>
        <v/>
      </c>
      <c r="E187" s="192"/>
      <c r="F187" s="192"/>
      <c r="G187" s="192"/>
      <c r="H187" s="192"/>
      <c r="I187" s="192"/>
      <c r="J187" s="47"/>
      <c r="K187" s="176" t="str">
        <f t="shared" si="41"/>
        <v/>
      </c>
      <c r="L187" s="177"/>
      <c r="M187" s="177"/>
      <c r="N187" s="177"/>
      <c r="O187" s="177"/>
      <c r="P187" s="177"/>
      <c r="Q187" s="144"/>
      <c r="R187" s="143" t="str">
        <f t="shared" si="45"/>
        <v/>
      </c>
      <c r="S187" s="142" t="str">
        <f t="shared" si="46"/>
        <v/>
      </c>
      <c r="T187" s="374" t="str">
        <f t="shared" si="51"/>
        <v/>
      </c>
      <c r="U187" s="372"/>
      <c r="V187" s="373"/>
      <c r="W187" s="374" t="str">
        <f t="shared" si="48"/>
        <v/>
      </c>
      <c r="X187" s="372"/>
      <c r="Y187" s="372"/>
      <c r="Z187" s="372"/>
      <c r="AA187" s="373"/>
      <c r="AB187" s="145" t="str">
        <f t="shared" si="52"/>
        <v/>
      </c>
      <c r="AC187" s="341" t="str">
        <f t="shared" si="53"/>
        <v/>
      </c>
      <c r="AD187" s="324"/>
      <c r="AE187" s="342"/>
      <c r="AF187" s="180"/>
      <c r="AG187" s="225"/>
      <c r="AH187" s="236" t="str">
        <f t="shared" si="54"/>
        <v/>
      </c>
    </row>
    <row r="188" spans="1:34">
      <c r="A188" s="109">
        <v>179</v>
      </c>
      <c r="B188" s="227">
        <v>179</v>
      </c>
      <c r="C188" s="142" t="str">
        <f t="shared" si="39"/>
        <v/>
      </c>
      <c r="D188" s="176" t="str">
        <f t="shared" si="50"/>
        <v/>
      </c>
      <c r="E188" s="192"/>
      <c r="F188" s="192"/>
      <c r="G188" s="192"/>
      <c r="H188" s="192"/>
      <c r="I188" s="192"/>
      <c r="J188" s="47"/>
      <c r="K188" s="176" t="str">
        <f t="shared" si="41"/>
        <v/>
      </c>
      <c r="L188" s="177"/>
      <c r="M188" s="177"/>
      <c r="N188" s="177"/>
      <c r="O188" s="177"/>
      <c r="P188" s="177"/>
      <c r="Q188" s="144"/>
      <c r="R188" s="143" t="str">
        <f t="shared" si="45"/>
        <v/>
      </c>
      <c r="S188" s="142" t="str">
        <f t="shared" si="46"/>
        <v/>
      </c>
      <c r="T188" s="374" t="str">
        <f t="shared" si="51"/>
        <v/>
      </c>
      <c r="U188" s="372"/>
      <c r="V188" s="373"/>
      <c r="W188" s="374" t="str">
        <f t="shared" si="48"/>
        <v/>
      </c>
      <c r="X188" s="372"/>
      <c r="Y188" s="372"/>
      <c r="Z188" s="372"/>
      <c r="AA188" s="373"/>
      <c r="AB188" s="145" t="str">
        <f t="shared" si="52"/>
        <v/>
      </c>
      <c r="AC188" s="341" t="str">
        <f t="shared" si="53"/>
        <v/>
      </c>
      <c r="AD188" s="324"/>
      <c r="AE188" s="342"/>
      <c r="AF188" s="180"/>
      <c r="AG188" s="225"/>
      <c r="AH188" s="236" t="str">
        <f t="shared" si="54"/>
        <v/>
      </c>
    </row>
    <row r="189" spans="1:34">
      <c r="A189" s="109">
        <v>180</v>
      </c>
      <c r="B189" s="227">
        <v>180</v>
      </c>
      <c r="C189" s="142" t="str">
        <f t="shared" si="39"/>
        <v/>
      </c>
      <c r="D189" s="176" t="str">
        <f t="shared" si="50"/>
        <v/>
      </c>
      <c r="E189" s="192"/>
      <c r="F189" s="192"/>
      <c r="G189" s="192"/>
      <c r="H189" s="192"/>
      <c r="I189" s="192"/>
      <c r="J189" s="47"/>
      <c r="K189" s="176" t="str">
        <f t="shared" si="41"/>
        <v/>
      </c>
      <c r="L189" s="177"/>
      <c r="M189" s="177"/>
      <c r="N189" s="177"/>
      <c r="O189" s="177"/>
      <c r="P189" s="177"/>
      <c r="Q189" s="144"/>
      <c r="R189" s="143" t="str">
        <f t="shared" si="45"/>
        <v/>
      </c>
      <c r="S189" s="142" t="str">
        <f t="shared" si="46"/>
        <v/>
      </c>
      <c r="T189" s="374" t="str">
        <f t="shared" si="51"/>
        <v/>
      </c>
      <c r="U189" s="372"/>
      <c r="V189" s="373"/>
      <c r="W189" s="374" t="str">
        <f t="shared" si="48"/>
        <v/>
      </c>
      <c r="X189" s="372"/>
      <c r="Y189" s="372"/>
      <c r="Z189" s="372"/>
      <c r="AA189" s="373"/>
      <c r="AB189" s="145" t="str">
        <f t="shared" si="52"/>
        <v/>
      </c>
      <c r="AC189" s="341" t="str">
        <f t="shared" si="53"/>
        <v/>
      </c>
      <c r="AD189" s="324"/>
      <c r="AE189" s="342"/>
      <c r="AF189" s="180"/>
      <c r="AG189" s="225"/>
      <c r="AH189" s="236" t="str">
        <f t="shared" si="54"/>
        <v/>
      </c>
    </row>
    <row r="190" spans="1:34">
      <c r="A190" s="109">
        <v>181</v>
      </c>
      <c r="B190" s="227">
        <v>181</v>
      </c>
      <c r="C190" s="142" t="str">
        <f t="shared" si="39"/>
        <v/>
      </c>
      <c r="D190" s="176" t="str">
        <f t="shared" si="50"/>
        <v/>
      </c>
      <c r="E190" s="192"/>
      <c r="F190" s="192"/>
      <c r="G190" s="192"/>
      <c r="H190" s="192"/>
      <c r="I190" s="192"/>
      <c r="J190" s="47"/>
      <c r="K190" s="176" t="str">
        <f t="shared" si="41"/>
        <v/>
      </c>
      <c r="L190" s="177"/>
      <c r="M190" s="177"/>
      <c r="N190" s="177"/>
      <c r="O190" s="177"/>
      <c r="P190" s="177"/>
      <c r="Q190" s="144"/>
      <c r="R190" s="143" t="str">
        <f t="shared" si="45"/>
        <v/>
      </c>
      <c r="S190" s="142" t="str">
        <f t="shared" si="46"/>
        <v/>
      </c>
      <c r="T190" s="374" t="str">
        <f t="shared" si="51"/>
        <v/>
      </c>
      <c r="U190" s="372"/>
      <c r="V190" s="373"/>
      <c r="W190" s="374" t="str">
        <f t="shared" si="48"/>
        <v/>
      </c>
      <c r="X190" s="372"/>
      <c r="Y190" s="372"/>
      <c r="Z190" s="372"/>
      <c r="AA190" s="373"/>
      <c r="AB190" s="145" t="str">
        <f t="shared" si="52"/>
        <v/>
      </c>
      <c r="AC190" s="341" t="str">
        <f t="shared" si="53"/>
        <v/>
      </c>
      <c r="AD190" s="324"/>
      <c r="AE190" s="342"/>
      <c r="AF190" s="180"/>
      <c r="AG190" s="225"/>
      <c r="AH190" s="236" t="str">
        <f t="shared" si="54"/>
        <v/>
      </c>
    </row>
    <row r="191" spans="1:34">
      <c r="A191" s="109">
        <v>182</v>
      </c>
      <c r="B191" s="227">
        <v>182</v>
      </c>
      <c r="C191" s="142" t="str">
        <f t="shared" si="39"/>
        <v/>
      </c>
      <c r="D191" s="176" t="str">
        <f t="shared" si="50"/>
        <v/>
      </c>
      <c r="E191" s="192"/>
      <c r="F191" s="192"/>
      <c r="G191" s="192"/>
      <c r="H191" s="192"/>
      <c r="I191" s="192"/>
      <c r="J191" s="47"/>
      <c r="K191" s="176" t="str">
        <f t="shared" si="41"/>
        <v/>
      </c>
      <c r="L191" s="177"/>
      <c r="M191" s="177"/>
      <c r="N191" s="177"/>
      <c r="O191" s="177"/>
      <c r="P191" s="177"/>
      <c r="Q191" s="144"/>
      <c r="R191" s="143" t="str">
        <f t="shared" si="45"/>
        <v/>
      </c>
      <c r="S191" s="142" t="str">
        <f t="shared" si="46"/>
        <v/>
      </c>
      <c r="T191" s="374" t="str">
        <f t="shared" si="51"/>
        <v/>
      </c>
      <c r="U191" s="372"/>
      <c r="V191" s="373"/>
      <c r="W191" s="374" t="str">
        <f t="shared" si="48"/>
        <v/>
      </c>
      <c r="X191" s="372"/>
      <c r="Y191" s="372"/>
      <c r="Z191" s="372"/>
      <c r="AA191" s="373"/>
      <c r="AB191" s="145" t="str">
        <f t="shared" si="52"/>
        <v/>
      </c>
      <c r="AC191" s="341" t="str">
        <f t="shared" si="53"/>
        <v/>
      </c>
      <c r="AD191" s="324"/>
      <c r="AE191" s="342"/>
      <c r="AF191" s="180"/>
      <c r="AG191" s="225"/>
      <c r="AH191" s="236" t="str">
        <f t="shared" si="54"/>
        <v/>
      </c>
    </row>
    <row r="192" spans="1:34">
      <c r="A192" s="109">
        <v>183</v>
      </c>
      <c r="B192" s="227">
        <v>183</v>
      </c>
      <c r="C192" s="142" t="str">
        <f t="shared" si="39"/>
        <v/>
      </c>
      <c r="D192" s="176" t="str">
        <f t="shared" si="50"/>
        <v/>
      </c>
      <c r="E192" s="192"/>
      <c r="F192" s="192"/>
      <c r="G192" s="192"/>
      <c r="H192" s="192"/>
      <c r="I192" s="192"/>
      <c r="J192" s="47"/>
      <c r="K192" s="176" t="str">
        <f t="shared" si="41"/>
        <v/>
      </c>
      <c r="L192" s="177"/>
      <c r="M192" s="177"/>
      <c r="N192" s="177"/>
      <c r="O192" s="177"/>
      <c r="P192" s="177"/>
      <c r="Q192" s="144"/>
      <c r="R192" s="143" t="str">
        <f t="shared" si="45"/>
        <v/>
      </c>
      <c r="S192" s="142" t="str">
        <f t="shared" si="46"/>
        <v/>
      </c>
      <c r="T192" s="374" t="str">
        <f t="shared" si="51"/>
        <v/>
      </c>
      <c r="U192" s="372"/>
      <c r="V192" s="373"/>
      <c r="W192" s="374" t="str">
        <f t="shared" si="48"/>
        <v/>
      </c>
      <c r="X192" s="372"/>
      <c r="Y192" s="372"/>
      <c r="Z192" s="372"/>
      <c r="AA192" s="373"/>
      <c r="AB192" s="145" t="str">
        <f t="shared" si="52"/>
        <v/>
      </c>
      <c r="AC192" s="341" t="str">
        <f t="shared" si="53"/>
        <v/>
      </c>
      <c r="AD192" s="324"/>
      <c r="AE192" s="342"/>
      <c r="AF192" s="180"/>
      <c r="AG192" s="225"/>
      <c r="AH192" s="236" t="str">
        <f t="shared" si="54"/>
        <v/>
      </c>
    </row>
    <row r="193" spans="1:34">
      <c r="A193" s="109">
        <v>184</v>
      </c>
      <c r="B193" s="227">
        <v>184</v>
      </c>
      <c r="C193" s="142" t="str">
        <f t="shared" si="39"/>
        <v/>
      </c>
      <c r="D193" s="176" t="str">
        <f t="shared" si="50"/>
        <v/>
      </c>
      <c r="E193" s="192"/>
      <c r="F193" s="192"/>
      <c r="G193" s="192"/>
      <c r="H193" s="192"/>
      <c r="I193" s="192"/>
      <c r="J193" s="47"/>
      <c r="K193" s="176" t="str">
        <f t="shared" si="41"/>
        <v/>
      </c>
      <c r="L193" s="177"/>
      <c r="M193" s="177"/>
      <c r="N193" s="177"/>
      <c r="O193" s="177"/>
      <c r="P193" s="177"/>
      <c r="Q193" s="144"/>
      <c r="R193" s="143" t="str">
        <f t="shared" si="45"/>
        <v/>
      </c>
      <c r="S193" s="142" t="str">
        <f t="shared" si="46"/>
        <v/>
      </c>
      <c r="T193" s="374" t="str">
        <f t="shared" si="51"/>
        <v/>
      </c>
      <c r="U193" s="372"/>
      <c r="V193" s="373"/>
      <c r="W193" s="374" t="str">
        <f t="shared" si="48"/>
        <v/>
      </c>
      <c r="X193" s="372"/>
      <c r="Y193" s="372"/>
      <c r="Z193" s="372"/>
      <c r="AA193" s="373"/>
      <c r="AB193" s="145" t="str">
        <f t="shared" si="52"/>
        <v/>
      </c>
      <c r="AC193" s="341" t="str">
        <f t="shared" si="53"/>
        <v/>
      </c>
      <c r="AD193" s="324"/>
      <c r="AE193" s="342"/>
      <c r="AF193" s="180"/>
      <c r="AG193" s="225"/>
      <c r="AH193" s="236" t="str">
        <f t="shared" si="54"/>
        <v/>
      </c>
    </row>
    <row r="194" spans="1:34">
      <c r="A194" s="109">
        <v>185</v>
      </c>
      <c r="B194" s="227">
        <v>185</v>
      </c>
      <c r="C194" s="142" t="str">
        <f t="shared" si="39"/>
        <v/>
      </c>
      <c r="D194" s="176" t="str">
        <f t="shared" si="50"/>
        <v/>
      </c>
      <c r="E194" s="192"/>
      <c r="F194" s="192"/>
      <c r="G194" s="192"/>
      <c r="H194" s="192"/>
      <c r="I194" s="192"/>
      <c r="J194" s="47"/>
      <c r="K194" s="176" t="str">
        <f t="shared" si="41"/>
        <v/>
      </c>
      <c r="L194" s="177"/>
      <c r="M194" s="177"/>
      <c r="N194" s="177"/>
      <c r="O194" s="177"/>
      <c r="P194" s="177"/>
      <c r="Q194" s="144"/>
      <c r="R194" s="143" t="str">
        <f t="shared" si="45"/>
        <v/>
      </c>
      <c r="S194" s="142" t="str">
        <f t="shared" si="46"/>
        <v/>
      </c>
      <c r="T194" s="374" t="str">
        <f t="shared" si="51"/>
        <v/>
      </c>
      <c r="U194" s="372"/>
      <c r="V194" s="373"/>
      <c r="W194" s="374" t="str">
        <f t="shared" si="48"/>
        <v/>
      </c>
      <c r="X194" s="372"/>
      <c r="Y194" s="372"/>
      <c r="Z194" s="372"/>
      <c r="AA194" s="373"/>
      <c r="AB194" s="145" t="str">
        <f t="shared" si="52"/>
        <v/>
      </c>
      <c r="AC194" s="341" t="str">
        <f t="shared" si="53"/>
        <v/>
      </c>
      <c r="AD194" s="324"/>
      <c r="AE194" s="342"/>
      <c r="AF194" s="180"/>
      <c r="AG194" s="225"/>
      <c r="AH194" s="236" t="str">
        <f t="shared" si="54"/>
        <v/>
      </c>
    </row>
    <row r="195" spans="1:34">
      <c r="A195" s="109">
        <v>186</v>
      </c>
      <c r="B195" s="227">
        <v>186</v>
      </c>
      <c r="C195" s="142" t="str">
        <f t="shared" si="39"/>
        <v/>
      </c>
      <c r="D195" s="176" t="str">
        <f t="shared" si="50"/>
        <v/>
      </c>
      <c r="E195" s="192"/>
      <c r="F195" s="192"/>
      <c r="G195" s="192"/>
      <c r="H195" s="192"/>
      <c r="I195" s="192"/>
      <c r="J195" s="47"/>
      <c r="K195" s="176" t="str">
        <f t="shared" si="41"/>
        <v/>
      </c>
      <c r="L195" s="177"/>
      <c r="M195" s="177"/>
      <c r="N195" s="177"/>
      <c r="O195" s="177"/>
      <c r="P195" s="177"/>
      <c r="Q195" s="144"/>
      <c r="R195" s="143" t="str">
        <f t="shared" si="45"/>
        <v/>
      </c>
      <c r="S195" s="142" t="str">
        <f t="shared" si="46"/>
        <v/>
      </c>
      <c r="T195" s="374" t="str">
        <f t="shared" si="51"/>
        <v/>
      </c>
      <c r="U195" s="372"/>
      <c r="V195" s="373"/>
      <c r="W195" s="374" t="str">
        <f t="shared" si="48"/>
        <v/>
      </c>
      <c r="X195" s="372"/>
      <c r="Y195" s="372"/>
      <c r="Z195" s="372"/>
      <c r="AA195" s="373"/>
      <c r="AB195" s="145" t="str">
        <f t="shared" si="52"/>
        <v/>
      </c>
      <c r="AC195" s="341" t="str">
        <f t="shared" si="53"/>
        <v/>
      </c>
      <c r="AD195" s="324"/>
      <c r="AE195" s="342"/>
      <c r="AF195" s="180"/>
      <c r="AG195" s="225"/>
      <c r="AH195" s="236" t="str">
        <f t="shared" si="54"/>
        <v/>
      </c>
    </row>
    <row r="196" spans="1:34">
      <c r="A196" s="109">
        <v>187</v>
      </c>
      <c r="B196" s="227">
        <v>187</v>
      </c>
      <c r="C196" s="142" t="str">
        <f t="shared" si="39"/>
        <v/>
      </c>
      <c r="D196" s="176" t="str">
        <f t="shared" si="50"/>
        <v/>
      </c>
      <c r="E196" s="192"/>
      <c r="F196" s="192"/>
      <c r="G196" s="192"/>
      <c r="H196" s="192"/>
      <c r="I196" s="192"/>
      <c r="J196" s="47"/>
      <c r="K196" s="176" t="str">
        <f t="shared" si="41"/>
        <v/>
      </c>
      <c r="L196" s="177"/>
      <c r="M196" s="177"/>
      <c r="N196" s="177"/>
      <c r="O196" s="177"/>
      <c r="P196" s="177"/>
      <c r="Q196" s="144"/>
      <c r="R196" s="143" t="str">
        <f t="shared" si="45"/>
        <v/>
      </c>
      <c r="S196" s="142" t="str">
        <f t="shared" si="46"/>
        <v/>
      </c>
      <c r="T196" s="374" t="str">
        <f t="shared" si="51"/>
        <v/>
      </c>
      <c r="U196" s="372"/>
      <c r="V196" s="373"/>
      <c r="W196" s="374" t="str">
        <f t="shared" si="48"/>
        <v/>
      </c>
      <c r="X196" s="372"/>
      <c r="Y196" s="372"/>
      <c r="Z196" s="372"/>
      <c r="AA196" s="373"/>
      <c r="AB196" s="145" t="str">
        <f t="shared" si="52"/>
        <v/>
      </c>
      <c r="AC196" s="341" t="str">
        <f t="shared" si="53"/>
        <v/>
      </c>
      <c r="AD196" s="324"/>
      <c r="AE196" s="342"/>
      <c r="AF196" s="180"/>
      <c r="AG196" s="225"/>
      <c r="AH196" s="236" t="str">
        <f t="shared" si="54"/>
        <v/>
      </c>
    </row>
    <row r="197" spans="1:34">
      <c r="A197" s="109">
        <v>188</v>
      </c>
      <c r="B197" s="227">
        <v>188</v>
      </c>
      <c r="C197" s="142" t="str">
        <f t="shared" si="39"/>
        <v/>
      </c>
      <c r="D197" s="176" t="str">
        <f t="shared" si="50"/>
        <v/>
      </c>
      <c r="E197" s="192"/>
      <c r="F197" s="192"/>
      <c r="G197" s="192"/>
      <c r="H197" s="192"/>
      <c r="I197" s="192"/>
      <c r="J197" s="47"/>
      <c r="K197" s="176" t="str">
        <f t="shared" si="41"/>
        <v/>
      </c>
      <c r="L197" s="177"/>
      <c r="M197" s="177"/>
      <c r="N197" s="177"/>
      <c r="O197" s="177"/>
      <c r="P197" s="177"/>
      <c r="Q197" s="144"/>
      <c r="R197" s="143" t="str">
        <f t="shared" si="45"/>
        <v/>
      </c>
      <c r="S197" s="142" t="str">
        <f t="shared" si="46"/>
        <v/>
      </c>
      <c r="T197" s="374" t="str">
        <f t="shared" si="51"/>
        <v/>
      </c>
      <c r="U197" s="372"/>
      <c r="V197" s="373"/>
      <c r="W197" s="374" t="str">
        <f t="shared" si="48"/>
        <v/>
      </c>
      <c r="X197" s="372"/>
      <c r="Y197" s="372"/>
      <c r="Z197" s="372"/>
      <c r="AA197" s="373"/>
      <c r="AB197" s="145" t="str">
        <f t="shared" si="52"/>
        <v/>
      </c>
      <c r="AC197" s="341" t="str">
        <f t="shared" si="53"/>
        <v/>
      </c>
      <c r="AD197" s="324"/>
      <c r="AE197" s="342"/>
      <c r="AF197" s="180"/>
      <c r="AG197" s="225"/>
      <c r="AH197" s="236" t="str">
        <f t="shared" si="54"/>
        <v/>
      </c>
    </row>
    <row r="198" spans="1:34">
      <c r="A198" s="109">
        <v>189</v>
      </c>
      <c r="B198" s="227">
        <v>189</v>
      </c>
      <c r="C198" s="142" t="str">
        <f t="shared" si="39"/>
        <v/>
      </c>
      <c r="D198" s="176" t="str">
        <f t="shared" si="50"/>
        <v/>
      </c>
      <c r="E198" s="192"/>
      <c r="F198" s="192"/>
      <c r="G198" s="192"/>
      <c r="H198" s="192"/>
      <c r="I198" s="192"/>
      <c r="J198" s="47"/>
      <c r="K198" s="176" t="str">
        <f t="shared" si="41"/>
        <v/>
      </c>
      <c r="L198" s="177"/>
      <c r="M198" s="177"/>
      <c r="N198" s="177"/>
      <c r="O198" s="177"/>
      <c r="P198" s="177"/>
      <c r="Q198" s="144"/>
      <c r="R198" s="143" t="str">
        <f t="shared" si="45"/>
        <v/>
      </c>
      <c r="S198" s="142" t="str">
        <f t="shared" si="46"/>
        <v/>
      </c>
      <c r="T198" s="374" t="str">
        <f t="shared" si="51"/>
        <v/>
      </c>
      <c r="U198" s="372"/>
      <c r="V198" s="373"/>
      <c r="W198" s="374" t="str">
        <f t="shared" si="48"/>
        <v/>
      </c>
      <c r="X198" s="372"/>
      <c r="Y198" s="372"/>
      <c r="Z198" s="372"/>
      <c r="AA198" s="373"/>
      <c r="AB198" s="145" t="str">
        <f t="shared" si="52"/>
        <v/>
      </c>
      <c r="AC198" s="341" t="str">
        <f t="shared" si="53"/>
        <v/>
      </c>
      <c r="AD198" s="324"/>
      <c r="AE198" s="342"/>
      <c r="AF198" s="180"/>
      <c r="AG198" s="225"/>
      <c r="AH198" s="236" t="str">
        <f t="shared" si="54"/>
        <v/>
      </c>
    </row>
    <row r="199" spans="1:34">
      <c r="A199" s="109">
        <v>190</v>
      </c>
      <c r="B199" s="227">
        <v>190</v>
      </c>
      <c r="C199" s="142" t="str">
        <f t="shared" si="39"/>
        <v/>
      </c>
      <c r="D199" s="176" t="str">
        <f t="shared" si="50"/>
        <v/>
      </c>
      <c r="E199" s="192"/>
      <c r="F199" s="192"/>
      <c r="G199" s="192"/>
      <c r="H199" s="192"/>
      <c r="I199" s="192"/>
      <c r="J199" s="47"/>
      <c r="K199" s="176" t="str">
        <f t="shared" si="41"/>
        <v/>
      </c>
      <c r="L199" s="177"/>
      <c r="M199" s="177"/>
      <c r="N199" s="177"/>
      <c r="O199" s="177"/>
      <c r="P199" s="177"/>
      <c r="Q199" s="144"/>
      <c r="R199" s="143" t="str">
        <f t="shared" si="45"/>
        <v/>
      </c>
      <c r="S199" s="142" t="str">
        <f t="shared" si="46"/>
        <v/>
      </c>
      <c r="T199" s="374" t="str">
        <f t="shared" si="51"/>
        <v/>
      </c>
      <c r="U199" s="372"/>
      <c r="V199" s="373"/>
      <c r="W199" s="374" t="str">
        <f t="shared" si="48"/>
        <v/>
      </c>
      <c r="X199" s="372"/>
      <c r="Y199" s="372"/>
      <c r="Z199" s="372"/>
      <c r="AA199" s="373"/>
      <c r="AB199" s="145" t="str">
        <f t="shared" si="52"/>
        <v/>
      </c>
      <c r="AC199" s="341" t="str">
        <f t="shared" si="53"/>
        <v/>
      </c>
      <c r="AD199" s="324"/>
      <c r="AE199" s="342"/>
      <c r="AF199" s="180"/>
      <c r="AG199" s="225"/>
      <c r="AH199" s="236" t="str">
        <f t="shared" si="54"/>
        <v/>
      </c>
    </row>
    <row r="200" spans="1:34">
      <c r="A200" s="109">
        <v>191</v>
      </c>
      <c r="B200" s="227">
        <v>191</v>
      </c>
      <c r="C200" s="142" t="str">
        <f t="shared" si="39"/>
        <v/>
      </c>
      <c r="D200" s="176" t="str">
        <f t="shared" si="50"/>
        <v/>
      </c>
      <c r="E200" s="192"/>
      <c r="F200" s="192"/>
      <c r="G200" s="192"/>
      <c r="H200" s="192"/>
      <c r="I200" s="192"/>
      <c r="J200" s="47"/>
      <c r="K200" s="176" t="str">
        <f t="shared" si="41"/>
        <v/>
      </c>
      <c r="L200" s="177"/>
      <c r="M200" s="177"/>
      <c r="N200" s="177"/>
      <c r="O200" s="177"/>
      <c r="P200" s="177"/>
      <c r="Q200" s="144"/>
      <c r="R200" s="143" t="str">
        <f t="shared" si="45"/>
        <v/>
      </c>
      <c r="S200" s="142" t="str">
        <f t="shared" si="46"/>
        <v/>
      </c>
      <c r="T200" s="374" t="str">
        <f t="shared" ref="T200:T208" si="55">IF(IF(ISNA(VLOOKUP(A200,StartList,10,FALSE)),"",VLOOKUP(A200,StartList,10,FALSE))=0,"",IF(ISNA(VLOOKUP(A200,StartList,10,FALSE)),"",VLOOKUP(A200,StartList,10,FALSE)))</f>
        <v/>
      </c>
      <c r="U200" s="372"/>
      <c r="V200" s="373"/>
      <c r="W200" s="374" t="str">
        <f t="shared" si="48"/>
        <v/>
      </c>
      <c r="X200" s="372"/>
      <c r="Y200" s="372"/>
      <c r="Z200" s="372"/>
      <c r="AA200" s="373"/>
      <c r="AB200" s="145" t="str">
        <f t="shared" ref="AB200:AB208" si="56">IF(IF(ISNA(VLOOKUP(A200,StartList,16,FALSE)),"",VLOOKUP(A200,StartList,16,FALSE))=0,"",IF(ISNA(VLOOKUP(A200,StartList,16,FALSE)),"",VLOOKUP(A200,StartList,16,FALSE)))</f>
        <v/>
      </c>
      <c r="AC200" s="341" t="str">
        <f t="shared" ref="AC200:AC208" si="57">IF(IF(ISNA(VLOOKUP(A200,StartList,17,FALSE)),"",VLOOKUP(A200,StartList,17,FALSE))=0,"",IF(ISNA(VLOOKUP(A200,StartList,17,FALSE)),"",VLOOKUP(A200,StartList,17,FALSE)))</f>
        <v/>
      </c>
      <c r="AD200" s="324"/>
      <c r="AE200" s="342"/>
      <c r="AF200" s="180"/>
      <c r="AG200" s="225"/>
      <c r="AH200" s="236" t="str">
        <f t="shared" si="54"/>
        <v/>
      </c>
    </row>
    <row r="201" spans="1:34">
      <c r="A201" s="109">
        <v>192</v>
      </c>
      <c r="B201" s="227">
        <v>192</v>
      </c>
      <c r="C201" s="142" t="str">
        <f t="shared" si="39"/>
        <v/>
      </c>
      <c r="D201" s="176" t="str">
        <f t="shared" si="50"/>
        <v/>
      </c>
      <c r="E201" s="192"/>
      <c r="F201" s="192"/>
      <c r="G201" s="192"/>
      <c r="H201" s="192"/>
      <c r="I201" s="192"/>
      <c r="J201" s="47"/>
      <c r="K201" s="176" t="str">
        <f t="shared" si="41"/>
        <v/>
      </c>
      <c r="L201" s="177"/>
      <c r="M201" s="177"/>
      <c r="N201" s="177"/>
      <c r="O201" s="177"/>
      <c r="P201" s="177"/>
      <c r="Q201" s="144"/>
      <c r="R201" s="143" t="str">
        <f t="shared" si="45"/>
        <v/>
      </c>
      <c r="S201" s="142" t="str">
        <f t="shared" si="46"/>
        <v/>
      </c>
      <c r="T201" s="374" t="str">
        <f t="shared" si="55"/>
        <v/>
      </c>
      <c r="U201" s="372"/>
      <c r="V201" s="373"/>
      <c r="W201" s="374" t="str">
        <f t="shared" si="48"/>
        <v/>
      </c>
      <c r="X201" s="372"/>
      <c r="Y201" s="372"/>
      <c r="Z201" s="372"/>
      <c r="AA201" s="373"/>
      <c r="AB201" s="145" t="str">
        <f t="shared" si="56"/>
        <v/>
      </c>
      <c r="AC201" s="341" t="str">
        <f t="shared" si="57"/>
        <v/>
      </c>
      <c r="AD201" s="324"/>
      <c r="AE201" s="342"/>
      <c r="AF201" s="180"/>
      <c r="AG201" s="225"/>
      <c r="AH201" s="236" t="str">
        <f t="shared" si="54"/>
        <v/>
      </c>
    </row>
    <row r="202" spans="1:34">
      <c r="A202" s="109">
        <v>193</v>
      </c>
      <c r="B202" s="227">
        <v>193</v>
      </c>
      <c r="C202" s="142" t="str">
        <f t="shared" ref="C202:C209" si="58">IF(IF(ISNA(VLOOKUP(A202,StartList,3,FALSE)),"",VLOOKUP(A202,StartList,3,FALSE))=0,"",IF(ISNA(VLOOKUP(A202,StartList,3,FALSE)),"",VLOOKUP(A202,StartList,3,FALSE)))</f>
        <v/>
      </c>
      <c r="D202" s="176" t="str">
        <f t="shared" si="50"/>
        <v/>
      </c>
      <c r="E202" s="192"/>
      <c r="F202" s="192"/>
      <c r="G202" s="192"/>
      <c r="H202" s="192"/>
      <c r="I202" s="192"/>
      <c r="J202" s="47"/>
      <c r="K202" s="176" t="str">
        <f t="shared" si="41"/>
        <v/>
      </c>
      <c r="L202" s="177"/>
      <c r="M202" s="177"/>
      <c r="N202" s="177"/>
      <c r="O202" s="177"/>
      <c r="P202" s="177"/>
      <c r="Q202" s="144"/>
      <c r="R202" s="143" t="str">
        <f t="shared" si="45"/>
        <v/>
      </c>
      <c r="S202" s="142" t="str">
        <f t="shared" si="46"/>
        <v/>
      </c>
      <c r="T202" s="374" t="str">
        <f t="shared" si="55"/>
        <v/>
      </c>
      <c r="U202" s="372"/>
      <c r="V202" s="373"/>
      <c r="W202" s="374" t="str">
        <f t="shared" ref="W202:W209" si="59">IF(IF(ISNA(VLOOKUP(A202,StartList,13,FALSE)),"",VLOOKUP(A202,StartList,13,FALSE))=0,"",IF(ISNA(VLOOKUP(A202,StartList,13,FALSE)),"",VLOOKUP(A202,StartList,13,FALSE)))</f>
        <v/>
      </c>
      <c r="X202" s="372"/>
      <c r="Y202" s="372"/>
      <c r="Z202" s="372"/>
      <c r="AA202" s="373"/>
      <c r="AB202" s="145" t="str">
        <f t="shared" si="56"/>
        <v/>
      </c>
      <c r="AC202" s="341" t="str">
        <f t="shared" si="57"/>
        <v/>
      </c>
      <c r="AD202" s="324"/>
      <c r="AE202" s="342"/>
      <c r="AF202" s="180"/>
      <c r="AG202" s="225"/>
      <c r="AH202" s="236" t="str">
        <f t="shared" si="54"/>
        <v/>
      </c>
    </row>
    <row r="203" spans="1:34">
      <c r="A203" s="109">
        <v>194</v>
      </c>
      <c r="B203" s="227">
        <v>194</v>
      </c>
      <c r="C203" s="142" t="str">
        <f t="shared" si="58"/>
        <v/>
      </c>
      <c r="D203" s="176" t="str">
        <f t="shared" si="50"/>
        <v/>
      </c>
      <c r="E203" s="192"/>
      <c r="F203" s="192"/>
      <c r="G203" s="192"/>
      <c r="H203" s="192"/>
      <c r="I203" s="192"/>
      <c r="J203" s="47"/>
      <c r="K203" s="176" t="str">
        <f t="shared" si="41"/>
        <v/>
      </c>
      <c r="L203" s="177"/>
      <c r="M203" s="177"/>
      <c r="N203" s="177"/>
      <c r="O203" s="177"/>
      <c r="P203" s="177"/>
      <c r="Q203" s="144"/>
      <c r="R203" s="143" t="str">
        <f t="shared" si="45"/>
        <v/>
      </c>
      <c r="S203" s="142" t="str">
        <f t="shared" si="46"/>
        <v/>
      </c>
      <c r="T203" s="374" t="str">
        <f t="shared" si="55"/>
        <v/>
      </c>
      <c r="U203" s="372"/>
      <c r="V203" s="373"/>
      <c r="W203" s="374" t="str">
        <f t="shared" si="59"/>
        <v/>
      </c>
      <c r="X203" s="372"/>
      <c r="Y203" s="372"/>
      <c r="Z203" s="372"/>
      <c r="AA203" s="373"/>
      <c r="AB203" s="145" t="str">
        <f t="shared" si="56"/>
        <v/>
      </c>
      <c r="AC203" s="341" t="str">
        <f t="shared" si="57"/>
        <v/>
      </c>
      <c r="AD203" s="324"/>
      <c r="AE203" s="342"/>
      <c r="AF203" s="180"/>
      <c r="AG203" s="225"/>
      <c r="AH203" s="236" t="str">
        <f t="shared" si="54"/>
        <v/>
      </c>
    </row>
    <row r="204" spans="1:34">
      <c r="A204" s="109">
        <v>195</v>
      </c>
      <c r="B204" s="227">
        <v>195</v>
      </c>
      <c r="C204" s="142" t="str">
        <f t="shared" si="58"/>
        <v/>
      </c>
      <c r="D204" s="176" t="str">
        <f t="shared" si="50"/>
        <v/>
      </c>
      <c r="E204" s="192"/>
      <c r="F204" s="192"/>
      <c r="G204" s="192"/>
      <c r="H204" s="192"/>
      <c r="I204" s="192"/>
      <c r="J204" s="47"/>
      <c r="K204" s="176" t="str">
        <f t="shared" si="41"/>
        <v/>
      </c>
      <c r="L204" s="177"/>
      <c r="M204" s="177"/>
      <c r="N204" s="177"/>
      <c r="O204" s="177"/>
      <c r="P204" s="177"/>
      <c r="Q204" s="144"/>
      <c r="R204" s="143" t="str">
        <f t="shared" si="45"/>
        <v/>
      </c>
      <c r="S204" s="142" t="str">
        <f t="shared" si="46"/>
        <v/>
      </c>
      <c r="T204" s="374" t="str">
        <f t="shared" si="55"/>
        <v/>
      </c>
      <c r="U204" s="372"/>
      <c r="V204" s="373"/>
      <c r="W204" s="374" t="str">
        <f t="shared" si="59"/>
        <v/>
      </c>
      <c r="X204" s="372"/>
      <c r="Y204" s="372"/>
      <c r="Z204" s="372"/>
      <c r="AA204" s="373"/>
      <c r="AB204" s="145" t="str">
        <f t="shared" si="56"/>
        <v/>
      </c>
      <c r="AC204" s="341" t="str">
        <f t="shared" si="57"/>
        <v/>
      </c>
      <c r="AD204" s="324"/>
      <c r="AE204" s="342"/>
      <c r="AF204" s="180"/>
      <c r="AG204" s="225"/>
      <c r="AH204" s="236" t="str">
        <f t="shared" si="54"/>
        <v/>
      </c>
    </row>
    <row r="205" spans="1:34">
      <c r="A205" s="109">
        <v>196</v>
      </c>
      <c r="B205" s="227">
        <v>196</v>
      </c>
      <c r="C205" s="142" t="str">
        <f t="shared" si="58"/>
        <v/>
      </c>
      <c r="D205" s="176" t="str">
        <f t="shared" si="50"/>
        <v/>
      </c>
      <c r="E205" s="192"/>
      <c r="F205" s="192"/>
      <c r="G205" s="192"/>
      <c r="H205" s="192"/>
      <c r="I205" s="192"/>
      <c r="J205" s="47"/>
      <c r="K205" s="176" t="str">
        <f t="shared" si="41"/>
        <v/>
      </c>
      <c r="L205" s="177"/>
      <c r="M205" s="177"/>
      <c r="N205" s="177"/>
      <c r="O205" s="177"/>
      <c r="P205" s="177"/>
      <c r="Q205" s="144"/>
      <c r="R205" s="143" t="str">
        <f t="shared" si="45"/>
        <v/>
      </c>
      <c r="S205" s="142" t="str">
        <f t="shared" si="46"/>
        <v/>
      </c>
      <c r="T205" s="374" t="str">
        <f t="shared" si="55"/>
        <v/>
      </c>
      <c r="U205" s="372"/>
      <c r="V205" s="373"/>
      <c r="W205" s="374" t="str">
        <f t="shared" si="59"/>
        <v/>
      </c>
      <c r="X205" s="372"/>
      <c r="Y205" s="372"/>
      <c r="Z205" s="372"/>
      <c r="AA205" s="373"/>
      <c r="AB205" s="145" t="str">
        <f t="shared" si="56"/>
        <v/>
      </c>
      <c r="AC205" s="341" t="str">
        <f t="shared" si="57"/>
        <v/>
      </c>
      <c r="AD205" s="324"/>
      <c r="AE205" s="342"/>
      <c r="AF205" s="180"/>
      <c r="AG205" s="225"/>
      <c r="AH205" s="236" t="str">
        <f t="shared" si="54"/>
        <v/>
      </c>
    </row>
    <row r="206" spans="1:34">
      <c r="A206" s="109">
        <v>197</v>
      </c>
      <c r="B206" s="227">
        <v>197</v>
      </c>
      <c r="C206" s="142" t="str">
        <f t="shared" si="58"/>
        <v/>
      </c>
      <c r="D206" s="176" t="str">
        <f t="shared" si="50"/>
        <v/>
      </c>
      <c r="E206" s="192"/>
      <c r="F206" s="192"/>
      <c r="G206" s="192"/>
      <c r="H206" s="192"/>
      <c r="I206" s="192"/>
      <c r="J206" s="47"/>
      <c r="K206" s="176" t="str">
        <f t="shared" ref="K206:K209" si="60">IF(IF(ISNA(VLOOKUP(A206,StartList,5,FALSE)),"",VLOOKUP(A206,StartList,5,FALSE))=0,"",IF(ISNA(VLOOKUP(A206,StartList,5,FALSE)),"",VLOOKUP(A206,StartList,5,FALSE)))</f>
        <v/>
      </c>
      <c r="L206" s="177"/>
      <c r="M206" s="177"/>
      <c r="N206" s="177"/>
      <c r="O206" s="177"/>
      <c r="P206" s="177"/>
      <c r="Q206" s="144"/>
      <c r="R206" s="143" t="str">
        <f t="shared" si="45"/>
        <v/>
      </c>
      <c r="S206" s="142" t="str">
        <f t="shared" si="46"/>
        <v/>
      </c>
      <c r="T206" s="374" t="str">
        <f t="shared" si="55"/>
        <v/>
      </c>
      <c r="U206" s="372"/>
      <c r="V206" s="373"/>
      <c r="W206" s="374" t="str">
        <f t="shared" si="59"/>
        <v/>
      </c>
      <c r="X206" s="372"/>
      <c r="Y206" s="372"/>
      <c r="Z206" s="372"/>
      <c r="AA206" s="373"/>
      <c r="AB206" s="145" t="str">
        <f t="shared" si="56"/>
        <v/>
      </c>
      <c r="AC206" s="341" t="str">
        <f t="shared" si="57"/>
        <v/>
      </c>
      <c r="AD206" s="324"/>
      <c r="AE206" s="342"/>
      <c r="AF206" s="180"/>
      <c r="AG206" s="225"/>
      <c r="AH206" s="236" t="str">
        <f t="shared" si="54"/>
        <v/>
      </c>
    </row>
    <row r="207" spans="1:34">
      <c r="A207" s="109">
        <v>198</v>
      </c>
      <c r="B207" s="227">
        <v>198</v>
      </c>
      <c r="C207" s="142" t="str">
        <f t="shared" si="58"/>
        <v/>
      </c>
      <c r="D207" s="176" t="str">
        <f t="shared" si="50"/>
        <v/>
      </c>
      <c r="E207" s="192"/>
      <c r="F207" s="192"/>
      <c r="G207" s="192"/>
      <c r="H207" s="192"/>
      <c r="I207" s="192"/>
      <c r="J207" s="47"/>
      <c r="K207" s="176" t="str">
        <f t="shared" si="60"/>
        <v/>
      </c>
      <c r="L207" s="177"/>
      <c r="M207" s="177"/>
      <c r="N207" s="177"/>
      <c r="O207" s="177"/>
      <c r="P207" s="177"/>
      <c r="Q207" s="144"/>
      <c r="R207" s="143" t="str">
        <f t="shared" si="45"/>
        <v/>
      </c>
      <c r="S207" s="142" t="str">
        <f t="shared" si="46"/>
        <v/>
      </c>
      <c r="T207" s="374" t="str">
        <f t="shared" si="55"/>
        <v/>
      </c>
      <c r="U207" s="372"/>
      <c r="V207" s="373"/>
      <c r="W207" s="374" t="str">
        <f t="shared" si="59"/>
        <v/>
      </c>
      <c r="X207" s="372"/>
      <c r="Y207" s="372"/>
      <c r="Z207" s="372"/>
      <c r="AA207" s="373"/>
      <c r="AB207" s="145" t="str">
        <f t="shared" si="56"/>
        <v/>
      </c>
      <c r="AC207" s="341" t="str">
        <f t="shared" si="57"/>
        <v/>
      </c>
      <c r="AD207" s="324"/>
      <c r="AE207" s="342"/>
      <c r="AF207" s="180"/>
      <c r="AG207" s="225"/>
      <c r="AH207" s="236" t="str">
        <f t="shared" si="54"/>
        <v/>
      </c>
    </row>
    <row r="208" spans="1:34">
      <c r="A208" s="109">
        <v>199</v>
      </c>
      <c r="B208" s="209">
        <v>199</v>
      </c>
      <c r="C208" s="142" t="str">
        <f t="shared" si="58"/>
        <v/>
      </c>
      <c r="D208" s="176" t="str">
        <f t="shared" si="50"/>
        <v/>
      </c>
      <c r="E208" s="192"/>
      <c r="F208" s="192"/>
      <c r="G208" s="192"/>
      <c r="H208" s="192"/>
      <c r="I208" s="192"/>
      <c r="J208" s="47"/>
      <c r="K208" s="176" t="str">
        <f t="shared" si="60"/>
        <v/>
      </c>
      <c r="L208" s="177"/>
      <c r="M208" s="177"/>
      <c r="N208" s="177"/>
      <c r="O208" s="177"/>
      <c r="P208" s="177"/>
      <c r="Q208" s="144"/>
      <c r="R208" s="143" t="str">
        <f t="shared" si="45"/>
        <v/>
      </c>
      <c r="S208" s="142" t="str">
        <f t="shared" si="46"/>
        <v/>
      </c>
      <c r="T208" s="374" t="str">
        <f t="shared" si="55"/>
        <v/>
      </c>
      <c r="U208" s="372"/>
      <c r="V208" s="373"/>
      <c r="W208" s="374" t="str">
        <f t="shared" si="59"/>
        <v/>
      </c>
      <c r="X208" s="372"/>
      <c r="Y208" s="372"/>
      <c r="Z208" s="372"/>
      <c r="AA208" s="373"/>
      <c r="AB208" s="145" t="str">
        <f t="shared" si="56"/>
        <v/>
      </c>
      <c r="AC208" s="341" t="str">
        <f t="shared" si="57"/>
        <v/>
      </c>
      <c r="AD208" s="324"/>
      <c r="AE208" s="342"/>
      <c r="AF208" s="180"/>
      <c r="AG208" s="225"/>
      <c r="AH208" s="236" t="str">
        <f t="shared" si="54"/>
        <v/>
      </c>
    </row>
    <row r="209" spans="1:34">
      <c r="A209" s="110">
        <v>200</v>
      </c>
      <c r="B209" s="190">
        <v>200</v>
      </c>
      <c r="C209" s="142" t="str">
        <f t="shared" si="58"/>
        <v/>
      </c>
      <c r="D209" s="176" t="str">
        <f t="shared" si="50"/>
        <v/>
      </c>
      <c r="E209" s="192"/>
      <c r="F209" s="192"/>
      <c r="G209" s="192"/>
      <c r="H209" s="192"/>
      <c r="I209" s="192"/>
      <c r="J209" s="47"/>
      <c r="K209" s="176" t="str">
        <f t="shared" si="60"/>
        <v/>
      </c>
      <c r="L209" s="177"/>
      <c r="M209" s="177"/>
      <c r="N209" s="177"/>
      <c r="O209" s="177"/>
      <c r="P209" s="177"/>
      <c r="Q209" s="144"/>
      <c r="R209" s="143" t="str">
        <f t="shared" si="45"/>
        <v/>
      </c>
      <c r="S209" s="142" t="str">
        <f t="shared" si="46"/>
        <v/>
      </c>
      <c r="T209" s="374" t="str">
        <f t="shared" ref="T209" si="61">IF(IF(ISNA(VLOOKUP(A209,StartList,10,FALSE)),"",VLOOKUP(A209,StartList,10,FALSE))=0,"",IF(ISNA(VLOOKUP(A209,StartList,10,FALSE)),"",VLOOKUP(A209,StartList,10,FALSE)))</f>
        <v/>
      </c>
      <c r="U209" s="372"/>
      <c r="V209" s="373"/>
      <c r="W209" s="374" t="str">
        <f t="shared" si="59"/>
        <v/>
      </c>
      <c r="X209" s="372"/>
      <c r="Y209" s="372"/>
      <c r="Z209" s="372"/>
      <c r="AA209" s="373"/>
      <c r="AB209" s="145" t="str">
        <f t="shared" si="52"/>
        <v/>
      </c>
      <c r="AC209" s="341" t="str">
        <f t="shared" ref="AC209" si="62">IF(IF(ISNA(VLOOKUP(A209,StartList,17,FALSE)),"",VLOOKUP(A209,StartList,17,FALSE))=0,"",IF(ISNA(VLOOKUP(A209,StartList,17,FALSE)),"",VLOOKUP(A209,StartList,17,FALSE)))</f>
        <v/>
      </c>
      <c r="AD209" s="324"/>
      <c r="AE209" s="342"/>
      <c r="AF209" s="180"/>
      <c r="AG209" s="225"/>
      <c r="AH209" s="236" t="str">
        <f t="shared" si="54"/>
        <v/>
      </c>
    </row>
    <row r="210" spans="1:34">
      <c r="B210" s="210"/>
      <c r="C210" s="210"/>
      <c r="D210" s="210"/>
      <c r="E210" s="210"/>
      <c r="F210" s="210"/>
      <c r="G210" s="210"/>
      <c r="H210" s="210"/>
      <c r="I210" s="210"/>
      <c r="J210" s="210"/>
      <c r="K210" s="210"/>
      <c r="L210" s="210"/>
      <c r="M210" s="210"/>
      <c r="N210" s="210"/>
      <c r="O210" s="210"/>
      <c r="P210" s="210"/>
      <c r="Q210" s="210"/>
      <c r="R210" s="211"/>
      <c r="S210" s="210"/>
      <c r="T210" s="212"/>
      <c r="U210" s="210"/>
      <c r="V210" s="210"/>
      <c r="W210" s="210"/>
      <c r="X210" s="212"/>
      <c r="Y210" s="210"/>
      <c r="Z210" s="210"/>
      <c r="AA210" s="210"/>
      <c r="AB210" s="213"/>
      <c r="AC210" s="214"/>
      <c r="AD210" s="215"/>
      <c r="AE210" s="215"/>
      <c r="AF210" s="216"/>
      <c r="AG210" s="216"/>
      <c r="AH210" s="217"/>
    </row>
    <row r="211" spans="1:34">
      <c r="B211" s="4"/>
      <c r="C211" s="4"/>
      <c r="D211" s="4"/>
      <c r="E211" s="4"/>
      <c r="F211" s="4"/>
      <c r="G211" s="4"/>
      <c r="H211" s="4"/>
      <c r="I211" s="4"/>
      <c r="J211" s="4"/>
      <c r="K211" s="4"/>
      <c r="L211" s="4"/>
      <c r="M211" s="4"/>
      <c r="N211" s="4"/>
      <c r="O211" s="4"/>
      <c r="P211" s="4"/>
      <c r="Q211" s="4"/>
      <c r="R211" s="218"/>
      <c r="S211" s="4"/>
      <c r="T211" s="219"/>
      <c r="U211" s="4"/>
      <c r="V211" s="4"/>
      <c r="W211" s="4"/>
      <c r="X211" s="219"/>
      <c r="Y211" s="4"/>
      <c r="Z211" s="4"/>
      <c r="AA211" s="4"/>
      <c r="AB211" s="220"/>
      <c r="AC211" s="221"/>
      <c r="AD211" s="222"/>
      <c r="AE211" s="222"/>
      <c r="AF211" s="72"/>
      <c r="AG211" s="72"/>
      <c r="AH211" s="223"/>
    </row>
    <row r="212" spans="1:34">
      <c r="B212" s="4"/>
      <c r="C212" s="4"/>
      <c r="D212" s="4"/>
      <c r="E212" s="4"/>
      <c r="F212" s="4"/>
      <c r="G212" s="4"/>
      <c r="H212" s="4"/>
      <c r="I212" s="4"/>
      <c r="J212" s="4"/>
      <c r="K212" s="4"/>
      <c r="L212" s="4"/>
      <c r="M212" s="4"/>
      <c r="N212" s="4"/>
      <c r="O212" s="4"/>
      <c r="P212" s="4"/>
      <c r="Q212" s="4"/>
      <c r="R212" s="218"/>
      <c r="S212" s="4"/>
      <c r="T212" s="219"/>
      <c r="U212" s="4"/>
      <c r="V212" s="4"/>
      <c r="W212" s="4"/>
      <c r="X212" s="219"/>
      <c r="Y212" s="4"/>
      <c r="Z212" s="4"/>
      <c r="AA212" s="4"/>
      <c r="AB212" s="220"/>
      <c r="AC212" s="221"/>
      <c r="AD212" s="222"/>
      <c r="AE212" s="222"/>
      <c r="AF212" s="72"/>
      <c r="AG212" s="72"/>
      <c r="AH212" s="223"/>
    </row>
  </sheetData>
  <mergeCells count="776">
    <mergeCell ref="AC207:AE207"/>
    <mergeCell ref="AC208:AE208"/>
    <mergeCell ref="AC209:AE209"/>
    <mergeCell ref="AC198:AE198"/>
    <mergeCell ref="AC199:AE199"/>
    <mergeCell ref="AC200:AE200"/>
    <mergeCell ref="AC201:AE201"/>
    <mergeCell ref="AC202:AE202"/>
    <mergeCell ref="AC203:AE203"/>
    <mergeCell ref="AC204:AE204"/>
    <mergeCell ref="AC205:AE205"/>
    <mergeCell ref="AC206:AE206"/>
    <mergeCell ref="AC189:AE189"/>
    <mergeCell ref="AC190:AE190"/>
    <mergeCell ref="AC191:AE191"/>
    <mergeCell ref="AC192:AE192"/>
    <mergeCell ref="AC193:AE193"/>
    <mergeCell ref="AC194:AE194"/>
    <mergeCell ref="AC195:AE195"/>
    <mergeCell ref="AC196:AE196"/>
    <mergeCell ref="AC197:AE197"/>
    <mergeCell ref="AC180:AE180"/>
    <mergeCell ref="AC181:AE181"/>
    <mergeCell ref="AC182:AE182"/>
    <mergeCell ref="AC183:AE183"/>
    <mergeCell ref="AC184:AE184"/>
    <mergeCell ref="AC185:AE185"/>
    <mergeCell ref="AC186:AE186"/>
    <mergeCell ref="AC187:AE187"/>
    <mergeCell ref="AC188:AE188"/>
    <mergeCell ref="AC171:AE171"/>
    <mergeCell ref="AC172:AE172"/>
    <mergeCell ref="AC173:AE173"/>
    <mergeCell ref="AC174:AE174"/>
    <mergeCell ref="AC175:AE175"/>
    <mergeCell ref="AC176:AE176"/>
    <mergeCell ref="AC177:AE177"/>
    <mergeCell ref="AC178:AE178"/>
    <mergeCell ref="AC179:AE179"/>
    <mergeCell ref="AC162:AE162"/>
    <mergeCell ref="AC163:AE163"/>
    <mergeCell ref="AC164:AE164"/>
    <mergeCell ref="AC165:AE165"/>
    <mergeCell ref="AC166:AE166"/>
    <mergeCell ref="AC167:AE167"/>
    <mergeCell ref="AC168:AE168"/>
    <mergeCell ref="AC169:AE169"/>
    <mergeCell ref="AC170:AE170"/>
    <mergeCell ref="AC153:AE153"/>
    <mergeCell ref="AC154:AE154"/>
    <mergeCell ref="AC155:AE155"/>
    <mergeCell ref="AC156:AE156"/>
    <mergeCell ref="AC157:AE157"/>
    <mergeCell ref="AC158:AE158"/>
    <mergeCell ref="AC159:AE159"/>
    <mergeCell ref="AC160:AE160"/>
    <mergeCell ref="AC161:AE161"/>
    <mergeCell ref="AC144:AE144"/>
    <mergeCell ref="AC145:AE145"/>
    <mergeCell ref="AC146:AE146"/>
    <mergeCell ref="AC147:AE147"/>
    <mergeCell ref="AC148:AE148"/>
    <mergeCell ref="AC149:AE149"/>
    <mergeCell ref="AC150:AE150"/>
    <mergeCell ref="AC151:AE151"/>
    <mergeCell ref="AC152:AE152"/>
    <mergeCell ref="AC135:AE135"/>
    <mergeCell ref="AC136:AE136"/>
    <mergeCell ref="AC137:AE137"/>
    <mergeCell ref="AC138:AE138"/>
    <mergeCell ref="AC139:AE139"/>
    <mergeCell ref="AC140:AE140"/>
    <mergeCell ref="AC141:AE141"/>
    <mergeCell ref="AC142:AE142"/>
    <mergeCell ref="AC143:AE143"/>
    <mergeCell ref="AC126:AE126"/>
    <mergeCell ref="AC127:AE127"/>
    <mergeCell ref="AC128:AE128"/>
    <mergeCell ref="AC129:AE129"/>
    <mergeCell ref="AC130:AE130"/>
    <mergeCell ref="AC131:AE131"/>
    <mergeCell ref="AC132:AE132"/>
    <mergeCell ref="AC133:AE133"/>
    <mergeCell ref="AC134:AE134"/>
    <mergeCell ref="AC117:AE117"/>
    <mergeCell ref="AC118:AE118"/>
    <mergeCell ref="AC119:AE119"/>
    <mergeCell ref="AC120:AE120"/>
    <mergeCell ref="AC121:AE121"/>
    <mergeCell ref="AC122:AE122"/>
    <mergeCell ref="AC123:AE123"/>
    <mergeCell ref="AC124:AE124"/>
    <mergeCell ref="AC125:AE125"/>
    <mergeCell ref="AC108:AE108"/>
    <mergeCell ref="AC109:AE109"/>
    <mergeCell ref="AC110:AE110"/>
    <mergeCell ref="AC111:AE111"/>
    <mergeCell ref="AC112:AE112"/>
    <mergeCell ref="AC113:AE113"/>
    <mergeCell ref="AC114:AE114"/>
    <mergeCell ref="AC115:AE115"/>
    <mergeCell ref="AC116:AE116"/>
    <mergeCell ref="AC99:AE99"/>
    <mergeCell ref="AC100:AE100"/>
    <mergeCell ref="AC101:AE101"/>
    <mergeCell ref="AC102:AE102"/>
    <mergeCell ref="AC103:AE103"/>
    <mergeCell ref="AC104:AE104"/>
    <mergeCell ref="AC105:AE105"/>
    <mergeCell ref="AC106:AE106"/>
    <mergeCell ref="AC107:AE107"/>
    <mergeCell ref="AC90:AE90"/>
    <mergeCell ref="AC91:AE91"/>
    <mergeCell ref="AC92:AE92"/>
    <mergeCell ref="AC93:AE93"/>
    <mergeCell ref="AC94:AE94"/>
    <mergeCell ref="AC95:AE95"/>
    <mergeCell ref="AC96:AE96"/>
    <mergeCell ref="AC97:AE97"/>
    <mergeCell ref="AC98:AE98"/>
    <mergeCell ref="AC81:AE81"/>
    <mergeCell ref="AC82:AE82"/>
    <mergeCell ref="AC83:AE83"/>
    <mergeCell ref="AC84:AE84"/>
    <mergeCell ref="AC85:AE85"/>
    <mergeCell ref="AC86:AE86"/>
    <mergeCell ref="AC87:AE87"/>
    <mergeCell ref="AC88:AE88"/>
    <mergeCell ref="AC89:AE89"/>
    <mergeCell ref="AC72:AE72"/>
    <mergeCell ref="AC73:AE73"/>
    <mergeCell ref="AC74:AE74"/>
    <mergeCell ref="AC75:AE75"/>
    <mergeCell ref="AC76:AE76"/>
    <mergeCell ref="AC77:AE77"/>
    <mergeCell ref="AC78:AE78"/>
    <mergeCell ref="AC79:AE79"/>
    <mergeCell ref="AC80:AE80"/>
    <mergeCell ref="AC63:AE63"/>
    <mergeCell ref="AC64:AE64"/>
    <mergeCell ref="AC65:AE65"/>
    <mergeCell ref="AC66:AE66"/>
    <mergeCell ref="AC67:AE67"/>
    <mergeCell ref="AC68:AE68"/>
    <mergeCell ref="AC69:AE69"/>
    <mergeCell ref="AC70:AE70"/>
    <mergeCell ref="AC71:AE71"/>
    <mergeCell ref="AC54:AE54"/>
    <mergeCell ref="AC55:AE55"/>
    <mergeCell ref="AC56:AE56"/>
    <mergeCell ref="AC57:AE57"/>
    <mergeCell ref="AC58:AE58"/>
    <mergeCell ref="AC59:AE59"/>
    <mergeCell ref="AC60:AE60"/>
    <mergeCell ref="AC61:AE61"/>
    <mergeCell ref="AC62:AE62"/>
    <mergeCell ref="AC45:AE45"/>
    <mergeCell ref="AC46:AE46"/>
    <mergeCell ref="AC47:AE47"/>
    <mergeCell ref="AC48:AE48"/>
    <mergeCell ref="AC49:AE49"/>
    <mergeCell ref="AC50:AE50"/>
    <mergeCell ref="AC51:AE51"/>
    <mergeCell ref="AC52:AE52"/>
    <mergeCell ref="AC53:AE53"/>
    <mergeCell ref="AC36:AE36"/>
    <mergeCell ref="AC37:AE37"/>
    <mergeCell ref="AC38:AE38"/>
    <mergeCell ref="AC39:AE39"/>
    <mergeCell ref="AC40:AE40"/>
    <mergeCell ref="AC41:AE41"/>
    <mergeCell ref="AC42:AE42"/>
    <mergeCell ref="AC43:AE43"/>
    <mergeCell ref="AC44:AE44"/>
    <mergeCell ref="AC27:AE27"/>
    <mergeCell ref="AC28:AE28"/>
    <mergeCell ref="AC29:AE29"/>
    <mergeCell ref="AC30:AE30"/>
    <mergeCell ref="AC31:AE31"/>
    <mergeCell ref="AC32:AE32"/>
    <mergeCell ref="AC33:AE33"/>
    <mergeCell ref="AC34:AE34"/>
    <mergeCell ref="AC35:AE35"/>
    <mergeCell ref="W204:AA204"/>
    <mergeCell ref="W205:AA205"/>
    <mergeCell ref="W206:AA206"/>
    <mergeCell ref="W207:AA207"/>
    <mergeCell ref="W208:AA208"/>
    <mergeCell ref="W209:AA209"/>
    <mergeCell ref="AC10:AE10"/>
    <mergeCell ref="AC11:AE11"/>
    <mergeCell ref="AC12:AE12"/>
    <mergeCell ref="AC13:AE13"/>
    <mergeCell ref="AC14:AE14"/>
    <mergeCell ref="AC15:AE15"/>
    <mergeCell ref="AC16:AE16"/>
    <mergeCell ref="AC17:AE17"/>
    <mergeCell ref="AC18:AE18"/>
    <mergeCell ref="AC19:AE19"/>
    <mergeCell ref="AC20:AE20"/>
    <mergeCell ref="AC21:AE21"/>
    <mergeCell ref="AC22:AE22"/>
    <mergeCell ref="AC23:AE23"/>
    <mergeCell ref="AC24:AE24"/>
    <mergeCell ref="AC25:AE25"/>
    <mergeCell ref="AC26:AE26"/>
    <mergeCell ref="W195:AA195"/>
    <mergeCell ref="W185:AA185"/>
    <mergeCell ref="W196:AA196"/>
    <mergeCell ref="W197:AA197"/>
    <mergeCell ref="W198:AA198"/>
    <mergeCell ref="W199:AA199"/>
    <mergeCell ref="W200:AA200"/>
    <mergeCell ref="W201:AA201"/>
    <mergeCell ref="W202:AA202"/>
    <mergeCell ref="W203:AA203"/>
    <mergeCell ref="W186:AA186"/>
    <mergeCell ref="W187:AA187"/>
    <mergeCell ref="W188:AA188"/>
    <mergeCell ref="W189:AA189"/>
    <mergeCell ref="W190:AA190"/>
    <mergeCell ref="W191:AA191"/>
    <mergeCell ref="W192:AA192"/>
    <mergeCell ref="W193:AA193"/>
    <mergeCell ref="W194:AA194"/>
    <mergeCell ref="W176:AA176"/>
    <mergeCell ref="W177:AA177"/>
    <mergeCell ref="W178:AA178"/>
    <mergeCell ref="W179:AA179"/>
    <mergeCell ref="W180:AA180"/>
    <mergeCell ref="W181:AA181"/>
    <mergeCell ref="W182:AA182"/>
    <mergeCell ref="W183:AA183"/>
    <mergeCell ref="W184:AA184"/>
    <mergeCell ref="W167:AA167"/>
    <mergeCell ref="W168:AA168"/>
    <mergeCell ref="W169:AA169"/>
    <mergeCell ref="W170:AA170"/>
    <mergeCell ref="W171:AA171"/>
    <mergeCell ref="W172:AA172"/>
    <mergeCell ref="W173:AA173"/>
    <mergeCell ref="W174:AA174"/>
    <mergeCell ref="W175:AA175"/>
    <mergeCell ref="W158:AA158"/>
    <mergeCell ref="W159:AA159"/>
    <mergeCell ref="W160:AA160"/>
    <mergeCell ref="W161:AA161"/>
    <mergeCell ref="W162:AA162"/>
    <mergeCell ref="W163:AA163"/>
    <mergeCell ref="W164:AA164"/>
    <mergeCell ref="W165:AA165"/>
    <mergeCell ref="W166:AA166"/>
    <mergeCell ref="W149:AA149"/>
    <mergeCell ref="W150:AA150"/>
    <mergeCell ref="W151:AA151"/>
    <mergeCell ref="W152:AA152"/>
    <mergeCell ref="W153:AA153"/>
    <mergeCell ref="W154:AA154"/>
    <mergeCell ref="W155:AA155"/>
    <mergeCell ref="W156:AA156"/>
    <mergeCell ref="W157:AA157"/>
    <mergeCell ref="W140:AA140"/>
    <mergeCell ref="W141:AA141"/>
    <mergeCell ref="W142:AA142"/>
    <mergeCell ref="W143:AA143"/>
    <mergeCell ref="W144:AA144"/>
    <mergeCell ref="W145:AA145"/>
    <mergeCell ref="W146:AA146"/>
    <mergeCell ref="W147:AA147"/>
    <mergeCell ref="W148:AA148"/>
    <mergeCell ref="W131:AA131"/>
    <mergeCell ref="W132:AA132"/>
    <mergeCell ref="W133:AA133"/>
    <mergeCell ref="W134:AA134"/>
    <mergeCell ref="W135:AA135"/>
    <mergeCell ref="W136:AA136"/>
    <mergeCell ref="W137:AA137"/>
    <mergeCell ref="W138:AA138"/>
    <mergeCell ref="W139:AA139"/>
    <mergeCell ref="W122:AA122"/>
    <mergeCell ref="W123:AA123"/>
    <mergeCell ref="W124:AA124"/>
    <mergeCell ref="W125:AA125"/>
    <mergeCell ref="W126:AA126"/>
    <mergeCell ref="W127:AA127"/>
    <mergeCell ref="W128:AA128"/>
    <mergeCell ref="W129:AA129"/>
    <mergeCell ref="W130:AA130"/>
    <mergeCell ref="W113:AA113"/>
    <mergeCell ref="W114:AA114"/>
    <mergeCell ref="W115:AA115"/>
    <mergeCell ref="W116:AA116"/>
    <mergeCell ref="W117:AA117"/>
    <mergeCell ref="W118:AA118"/>
    <mergeCell ref="W119:AA119"/>
    <mergeCell ref="W120:AA120"/>
    <mergeCell ref="W121:AA121"/>
    <mergeCell ref="W104:AA104"/>
    <mergeCell ref="W105:AA105"/>
    <mergeCell ref="W106:AA106"/>
    <mergeCell ref="W107:AA107"/>
    <mergeCell ref="W108:AA108"/>
    <mergeCell ref="W109:AA109"/>
    <mergeCell ref="W110:AA110"/>
    <mergeCell ref="W111:AA111"/>
    <mergeCell ref="W112:AA112"/>
    <mergeCell ref="W95:AA95"/>
    <mergeCell ref="W96:AA96"/>
    <mergeCell ref="W97:AA97"/>
    <mergeCell ref="W98:AA98"/>
    <mergeCell ref="W99:AA99"/>
    <mergeCell ref="W100:AA100"/>
    <mergeCell ref="W101:AA101"/>
    <mergeCell ref="W102:AA102"/>
    <mergeCell ref="W103:AA103"/>
    <mergeCell ref="W86:AA86"/>
    <mergeCell ref="W87:AA87"/>
    <mergeCell ref="W88:AA88"/>
    <mergeCell ref="W89:AA89"/>
    <mergeCell ref="W90:AA90"/>
    <mergeCell ref="W91:AA91"/>
    <mergeCell ref="W92:AA92"/>
    <mergeCell ref="W93:AA93"/>
    <mergeCell ref="W94:AA94"/>
    <mergeCell ref="W77:AA77"/>
    <mergeCell ref="W78:AA78"/>
    <mergeCell ref="W79:AA79"/>
    <mergeCell ref="W80:AA80"/>
    <mergeCell ref="W81:AA81"/>
    <mergeCell ref="W82:AA82"/>
    <mergeCell ref="W83:AA83"/>
    <mergeCell ref="W84:AA84"/>
    <mergeCell ref="W85:AA85"/>
    <mergeCell ref="W68:AA68"/>
    <mergeCell ref="W69:AA69"/>
    <mergeCell ref="W70:AA70"/>
    <mergeCell ref="W71:AA71"/>
    <mergeCell ref="W72:AA72"/>
    <mergeCell ref="W73:AA73"/>
    <mergeCell ref="W74:AA74"/>
    <mergeCell ref="W75:AA75"/>
    <mergeCell ref="W76:AA76"/>
    <mergeCell ref="W59:AA59"/>
    <mergeCell ref="W60:AA60"/>
    <mergeCell ref="W61:AA61"/>
    <mergeCell ref="W62:AA62"/>
    <mergeCell ref="W63:AA63"/>
    <mergeCell ref="W64:AA64"/>
    <mergeCell ref="W65:AA65"/>
    <mergeCell ref="W66:AA66"/>
    <mergeCell ref="W67:AA67"/>
    <mergeCell ref="W50:AA50"/>
    <mergeCell ref="W51:AA51"/>
    <mergeCell ref="W52:AA52"/>
    <mergeCell ref="W53:AA53"/>
    <mergeCell ref="W54:AA54"/>
    <mergeCell ref="W55:AA55"/>
    <mergeCell ref="W56:AA56"/>
    <mergeCell ref="W57:AA57"/>
    <mergeCell ref="W58:AA58"/>
    <mergeCell ref="W41:AA41"/>
    <mergeCell ref="W42:AA42"/>
    <mergeCell ref="W43:AA43"/>
    <mergeCell ref="W44:AA44"/>
    <mergeCell ref="W45:AA45"/>
    <mergeCell ref="W46:AA46"/>
    <mergeCell ref="W47:AA47"/>
    <mergeCell ref="W48:AA48"/>
    <mergeCell ref="W49:AA49"/>
    <mergeCell ref="W32:AA32"/>
    <mergeCell ref="W33:AA33"/>
    <mergeCell ref="W34:AA34"/>
    <mergeCell ref="W35:AA35"/>
    <mergeCell ref="W36:AA36"/>
    <mergeCell ref="W37:AA37"/>
    <mergeCell ref="W38:AA38"/>
    <mergeCell ref="W39:AA39"/>
    <mergeCell ref="W40:AA40"/>
    <mergeCell ref="D168:J168"/>
    <mergeCell ref="D169:J169"/>
    <mergeCell ref="D170:J170"/>
    <mergeCell ref="D171:J171"/>
    <mergeCell ref="D172:J172"/>
    <mergeCell ref="D173:J173"/>
    <mergeCell ref="D166:J166"/>
    <mergeCell ref="D167:J167"/>
    <mergeCell ref="T160:V160"/>
    <mergeCell ref="T161:V161"/>
    <mergeCell ref="T162:V162"/>
    <mergeCell ref="T163:V163"/>
    <mergeCell ref="T164:V164"/>
    <mergeCell ref="T165:V165"/>
    <mergeCell ref="T166:V166"/>
    <mergeCell ref="D161:J161"/>
    <mergeCell ref="D162:J162"/>
    <mergeCell ref="D163:J163"/>
    <mergeCell ref="D164:J164"/>
    <mergeCell ref="T167:V167"/>
    <mergeCell ref="T169:V169"/>
    <mergeCell ref="T170:V170"/>
    <mergeCell ref="T171:V171"/>
    <mergeCell ref="T172:V172"/>
    <mergeCell ref="D160:J160"/>
    <mergeCell ref="D165:J165"/>
    <mergeCell ref="W10:AA10"/>
    <mergeCell ref="W11:AA11"/>
    <mergeCell ref="W12:AA12"/>
    <mergeCell ref="W13:AA13"/>
    <mergeCell ref="W14:AA14"/>
    <mergeCell ref="W15:AA15"/>
    <mergeCell ref="W16:AA16"/>
    <mergeCell ref="W17:AA17"/>
    <mergeCell ref="W18:AA18"/>
    <mergeCell ref="W19:AA19"/>
    <mergeCell ref="W20:AA20"/>
    <mergeCell ref="W21:AA21"/>
    <mergeCell ref="W22:AA22"/>
    <mergeCell ref="W23:AA23"/>
    <mergeCell ref="W24:AA24"/>
    <mergeCell ref="W25:AA25"/>
    <mergeCell ref="W26:AA26"/>
    <mergeCell ref="W27:AA27"/>
    <mergeCell ref="W28:AA28"/>
    <mergeCell ref="W29:AA29"/>
    <mergeCell ref="W30:AA30"/>
    <mergeCell ref="W31:AA31"/>
    <mergeCell ref="T19:V19"/>
    <mergeCell ref="T20:V20"/>
    <mergeCell ref="F1:AB1"/>
    <mergeCell ref="H3:P3"/>
    <mergeCell ref="X3:AF3"/>
    <mergeCell ref="H4:P4"/>
    <mergeCell ref="X4:AF4"/>
    <mergeCell ref="H5:I5"/>
    <mergeCell ref="X5:AF5"/>
    <mergeCell ref="X6:AF6"/>
    <mergeCell ref="AC9:AE9"/>
    <mergeCell ref="X9:Z9"/>
    <mergeCell ref="AF9:AG9"/>
    <mergeCell ref="H6:P6"/>
    <mergeCell ref="D16:J16"/>
    <mergeCell ref="D17:J17"/>
    <mergeCell ref="T15:V15"/>
    <mergeCell ref="T12:V12"/>
    <mergeCell ref="T13:V13"/>
    <mergeCell ref="D15:J15"/>
    <mergeCell ref="T16:V16"/>
    <mergeCell ref="T17:V17"/>
    <mergeCell ref="T18:V18"/>
    <mergeCell ref="D24:J24"/>
    <mergeCell ref="D25:J25"/>
    <mergeCell ref="D26:J26"/>
    <mergeCell ref="D27:J27"/>
    <mergeCell ref="D28:J28"/>
    <mergeCell ref="D22:J22"/>
    <mergeCell ref="D20:J20"/>
    <mergeCell ref="D21:J21"/>
    <mergeCell ref="D18:J18"/>
    <mergeCell ref="D19:J19"/>
    <mergeCell ref="D30:J30"/>
    <mergeCell ref="D31:J31"/>
    <mergeCell ref="D23:J23"/>
    <mergeCell ref="D49:J49"/>
    <mergeCell ref="D46:J46"/>
    <mergeCell ref="D47:J47"/>
    <mergeCell ref="D48:J48"/>
    <mergeCell ref="T10:V10"/>
    <mergeCell ref="T11:V11"/>
    <mergeCell ref="T14:V14"/>
    <mergeCell ref="D12:J12"/>
    <mergeCell ref="D13:J13"/>
    <mergeCell ref="D10:J10"/>
    <mergeCell ref="D11:J11"/>
    <mergeCell ref="D44:J44"/>
    <mergeCell ref="D45:J45"/>
    <mergeCell ref="D42:J42"/>
    <mergeCell ref="D43:J43"/>
    <mergeCell ref="D40:J40"/>
    <mergeCell ref="D41:J41"/>
    <mergeCell ref="D14:J14"/>
    <mergeCell ref="D34:J34"/>
    <mergeCell ref="D35:J35"/>
    <mergeCell ref="D29:J29"/>
    <mergeCell ref="D72:J72"/>
    <mergeCell ref="D73:J73"/>
    <mergeCell ref="D70:J70"/>
    <mergeCell ref="D71:J71"/>
    <mergeCell ref="D74:J74"/>
    <mergeCell ref="D36:J36"/>
    <mergeCell ref="D37:J37"/>
    <mergeCell ref="D32:J32"/>
    <mergeCell ref="D33:J33"/>
    <mergeCell ref="D38:J38"/>
    <mergeCell ref="D39:J39"/>
    <mergeCell ref="D95:J95"/>
    <mergeCell ref="D86:J86"/>
    <mergeCell ref="D87:J87"/>
    <mergeCell ref="D98:J98"/>
    <mergeCell ref="D99:J99"/>
    <mergeCell ref="D84:J84"/>
    <mergeCell ref="D85:J85"/>
    <mergeCell ref="D50:J50"/>
    <mergeCell ref="D51:J51"/>
    <mergeCell ref="D64:J64"/>
    <mergeCell ref="D65:J65"/>
    <mergeCell ref="D62:J62"/>
    <mergeCell ref="D63:J63"/>
    <mergeCell ref="D60:J60"/>
    <mergeCell ref="D61:J61"/>
    <mergeCell ref="D52:J52"/>
    <mergeCell ref="D53:J53"/>
    <mergeCell ref="D56:J56"/>
    <mergeCell ref="D57:J57"/>
    <mergeCell ref="D54:J54"/>
    <mergeCell ref="D55:J55"/>
    <mergeCell ref="D58:J58"/>
    <mergeCell ref="D59:J59"/>
    <mergeCell ref="D75:J75"/>
    <mergeCell ref="D121:J121"/>
    <mergeCell ref="D118:J118"/>
    <mergeCell ref="D119:J119"/>
    <mergeCell ref="D107:J107"/>
    <mergeCell ref="D129:J129"/>
    <mergeCell ref="D66:J66"/>
    <mergeCell ref="D67:J67"/>
    <mergeCell ref="D128:J128"/>
    <mergeCell ref="D126:J126"/>
    <mergeCell ref="D127:J127"/>
    <mergeCell ref="D124:J124"/>
    <mergeCell ref="D68:J68"/>
    <mergeCell ref="D69:J69"/>
    <mergeCell ref="D80:J80"/>
    <mergeCell ref="D81:J81"/>
    <mergeCell ref="D78:J78"/>
    <mergeCell ref="D79:J79"/>
    <mergeCell ref="D76:J76"/>
    <mergeCell ref="D77:J77"/>
    <mergeCell ref="D82:J82"/>
    <mergeCell ref="D83:J83"/>
    <mergeCell ref="D96:J96"/>
    <mergeCell ref="D97:J97"/>
    <mergeCell ref="D94:J94"/>
    <mergeCell ref="D122:J122"/>
    <mergeCell ref="D123:J123"/>
    <mergeCell ref="D135:J135"/>
    <mergeCell ref="D132:J132"/>
    <mergeCell ref="D133:J133"/>
    <mergeCell ref="D89:J89"/>
    <mergeCell ref="D145:J145"/>
    <mergeCell ref="D92:J92"/>
    <mergeCell ref="D93:J93"/>
    <mergeCell ref="D106:J106"/>
    <mergeCell ref="D104:J104"/>
    <mergeCell ref="D105:J105"/>
    <mergeCell ref="D102:J102"/>
    <mergeCell ref="D113:J113"/>
    <mergeCell ref="D110:J110"/>
    <mergeCell ref="D111:J111"/>
    <mergeCell ref="D108:J108"/>
    <mergeCell ref="D109:J109"/>
    <mergeCell ref="D103:J103"/>
    <mergeCell ref="D90:J90"/>
    <mergeCell ref="D91:J91"/>
    <mergeCell ref="D100:J100"/>
    <mergeCell ref="D101:J101"/>
    <mergeCell ref="D120:J120"/>
    <mergeCell ref="D141:J141"/>
    <mergeCell ref="D151:J151"/>
    <mergeCell ref="T42:V42"/>
    <mergeCell ref="T43:V43"/>
    <mergeCell ref="T44:V44"/>
    <mergeCell ref="T67:V67"/>
    <mergeCell ref="T109:V109"/>
    <mergeCell ref="D88:J88"/>
    <mergeCell ref="T81:V81"/>
    <mergeCell ref="T136:V136"/>
    <mergeCell ref="T112:V112"/>
    <mergeCell ref="T118:V118"/>
    <mergeCell ref="T140:V140"/>
    <mergeCell ref="T123:V123"/>
    <mergeCell ref="T78:V78"/>
    <mergeCell ref="T107:V107"/>
    <mergeCell ref="T108:V108"/>
    <mergeCell ref="T113:V113"/>
    <mergeCell ref="D112:J112"/>
    <mergeCell ref="D116:J116"/>
    <mergeCell ref="D117:J117"/>
    <mergeCell ref="D114:J114"/>
    <mergeCell ref="D115:J115"/>
    <mergeCell ref="D125:J125"/>
    <mergeCell ref="D158:J158"/>
    <mergeCell ref="D159:J159"/>
    <mergeCell ref="D130:J130"/>
    <mergeCell ref="D131:J131"/>
    <mergeCell ref="D138:J138"/>
    <mergeCell ref="D139:J139"/>
    <mergeCell ref="D146:J146"/>
    <mergeCell ref="D147:J147"/>
    <mergeCell ref="D148:J148"/>
    <mergeCell ref="D149:J149"/>
    <mergeCell ref="D156:J156"/>
    <mergeCell ref="D154:J154"/>
    <mergeCell ref="D152:J152"/>
    <mergeCell ref="D155:J155"/>
    <mergeCell ref="D136:J136"/>
    <mergeCell ref="D137:J137"/>
    <mergeCell ref="D134:J134"/>
    <mergeCell ref="D150:J150"/>
    <mergeCell ref="D157:J157"/>
    <mergeCell ref="D153:J153"/>
    <mergeCell ref="D144:J144"/>
    <mergeCell ref="D142:J142"/>
    <mergeCell ref="D143:J143"/>
    <mergeCell ref="D140:J140"/>
    <mergeCell ref="T30:V30"/>
    <mergeCell ref="T40:V40"/>
    <mergeCell ref="T35:V35"/>
    <mergeCell ref="T34:V34"/>
    <mergeCell ref="T45:V45"/>
    <mergeCell ref="T46:V46"/>
    <mergeCell ref="T47:V47"/>
    <mergeCell ref="T48:V48"/>
    <mergeCell ref="T55:V55"/>
    <mergeCell ref="T36:V36"/>
    <mergeCell ref="T37:V37"/>
    <mergeCell ref="T38:V38"/>
    <mergeCell ref="T53:V53"/>
    <mergeCell ref="T54:V54"/>
    <mergeCell ref="T33:V33"/>
    <mergeCell ref="T49:V49"/>
    <mergeCell ref="T41:V41"/>
    <mergeCell ref="T114:V114"/>
    <mergeCell ref="T115:V115"/>
    <mergeCell ref="T132:V132"/>
    <mergeCell ref="T117:V117"/>
    <mergeCell ref="T120:V120"/>
    <mergeCell ref="T122:V122"/>
    <mergeCell ref="T116:V116"/>
    <mergeCell ref="T121:V121"/>
    <mergeCell ref="T111:V111"/>
    <mergeCell ref="T156:V156"/>
    <mergeCell ref="T142:V142"/>
    <mergeCell ref="T143:V143"/>
    <mergeCell ref="T144:V144"/>
    <mergeCell ref="T137:V137"/>
    <mergeCell ref="T138:V138"/>
    <mergeCell ref="T139:V139"/>
    <mergeCell ref="T154:V154"/>
    <mergeCell ref="T149:V149"/>
    <mergeCell ref="T155:V155"/>
    <mergeCell ref="T145:V145"/>
    <mergeCell ref="T146:V146"/>
    <mergeCell ref="T147:V147"/>
    <mergeCell ref="T141:V141"/>
    <mergeCell ref="T76:V76"/>
    <mergeCell ref="T79:V79"/>
    <mergeCell ref="T80:V80"/>
    <mergeCell ref="T57:V57"/>
    <mergeCell ref="T66:V66"/>
    <mergeCell ref="T64:V64"/>
    <mergeCell ref="T77:V77"/>
    <mergeCell ref="T157:V157"/>
    <mergeCell ref="T150:V150"/>
    <mergeCell ref="T151:V151"/>
    <mergeCell ref="T152:V152"/>
    <mergeCell ref="T153:V153"/>
    <mergeCell ref="T124:V124"/>
    <mergeCell ref="T125:V125"/>
    <mergeCell ref="T128:V128"/>
    <mergeCell ref="T134:V134"/>
    <mergeCell ref="T129:V129"/>
    <mergeCell ref="T130:V130"/>
    <mergeCell ref="T131:V131"/>
    <mergeCell ref="T127:V127"/>
    <mergeCell ref="T133:V133"/>
    <mergeCell ref="T126:V126"/>
    <mergeCell ref="T148:V148"/>
    <mergeCell ref="T135:V135"/>
    <mergeCell ref="T65:V65"/>
    <mergeCell ref="T56:V56"/>
    <mergeCell ref="T62:V62"/>
    <mergeCell ref="T74:V74"/>
    <mergeCell ref="T75:V75"/>
    <mergeCell ref="T71:V71"/>
    <mergeCell ref="T72:V72"/>
    <mergeCell ref="T73:V73"/>
    <mergeCell ref="T69:V69"/>
    <mergeCell ref="T70:V70"/>
    <mergeCell ref="T58:V58"/>
    <mergeCell ref="T59:V59"/>
    <mergeCell ref="T60:V60"/>
    <mergeCell ref="T61:V61"/>
    <mergeCell ref="T63:V63"/>
    <mergeCell ref="T102:V102"/>
    <mergeCell ref="T103:V103"/>
    <mergeCell ref="T104:V104"/>
    <mergeCell ref="T86:V86"/>
    <mergeCell ref="T96:V96"/>
    <mergeCell ref="T97:V97"/>
    <mergeCell ref="T105:V105"/>
    <mergeCell ref="T84:V84"/>
    <mergeCell ref="T85:V85"/>
    <mergeCell ref="T89:V89"/>
    <mergeCell ref="T90:V90"/>
    <mergeCell ref="T88:V88"/>
    <mergeCell ref="T28:V28"/>
    <mergeCell ref="T50:V50"/>
    <mergeCell ref="T51:V51"/>
    <mergeCell ref="T52:V52"/>
    <mergeCell ref="T39:V39"/>
    <mergeCell ref="T119:V119"/>
    <mergeCell ref="T27:V27"/>
    <mergeCell ref="T31:V31"/>
    <mergeCell ref="T32:V32"/>
    <mergeCell ref="T29:V29"/>
    <mergeCell ref="T87:V87"/>
    <mergeCell ref="T83:V83"/>
    <mergeCell ref="T95:V95"/>
    <mergeCell ref="T98:V98"/>
    <mergeCell ref="T99:V99"/>
    <mergeCell ref="T94:V94"/>
    <mergeCell ref="T110:V110"/>
    <mergeCell ref="T100:V100"/>
    <mergeCell ref="T101:V101"/>
    <mergeCell ref="T106:V106"/>
    <mergeCell ref="T82:V82"/>
    <mergeCell ref="T91:V91"/>
    <mergeCell ref="T92:V92"/>
    <mergeCell ref="T93:V93"/>
    <mergeCell ref="T25:V25"/>
    <mergeCell ref="T26:V26"/>
    <mergeCell ref="T21:V21"/>
    <mergeCell ref="T22:V22"/>
    <mergeCell ref="T23:V23"/>
    <mergeCell ref="T24:V24"/>
    <mergeCell ref="T68:V68"/>
    <mergeCell ref="T197:V197"/>
    <mergeCell ref="T188:V188"/>
    <mergeCell ref="T189:V189"/>
    <mergeCell ref="T190:V190"/>
    <mergeCell ref="T191:V191"/>
    <mergeCell ref="T192:V192"/>
    <mergeCell ref="T193:V193"/>
    <mergeCell ref="T194:V194"/>
    <mergeCell ref="T195:V195"/>
    <mergeCell ref="T196:V196"/>
    <mergeCell ref="T158:V158"/>
    <mergeCell ref="T159:V159"/>
    <mergeCell ref="T181:V181"/>
    <mergeCell ref="T182:V182"/>
    <mergeCell ref="T183:V183"/>
    <mergeCell ref="T184:V184"/>
    <mergeCell ref="T185:V185"/>
    <mergeCell ref="T186:V186"/>
    <mergeCell ref="T187:V187"/>
    <mergeCell ref="T178:V178"/>
    <mergeCell ref="T168:V168"/>
    <mergeCell ref="T179:V179"/>
    <mergeCell ref="T180:V180"/>
    <mergeCell ref="T177:V177"/>
    <mergeCell ref="T173:V173"/>
    <mergeCell ref="T174:V174"/>
    <mergeCell ref="T175:V175"/>
    <mergeCell ref="T176:V176"/>
    <mergeCell ref="T207:V207"/>
    <mergeCell ref="T208:V208"/>
    <mergeCell ref="T209:V209"/>
    <mergeCell ref="T198:V198"/>
    <mergeCell ref="T199:V199"/>
    <mergeCell ref="T200:V200"/>
    <mergeCell ref="T201:V201"/>
    <mergeCell ref="T202:V202"/>
    <mergeCell ref="T203:V203"/>
    <mergeCell ref="T204:V204"/>
    <mergeCell ref="T205:V205"/>
    <mergeCell ref="T206:V206"/>
  </mergeCells>
  <phoneticPr fontId="26" type="noConversion"/>
  <dataValidations count="2">
    <dataValidation type="list" allowBlank="1" showInputMessage="1" showErrorMessage="1" errorTitle="ERROR" error="Please chose one of the specified selections." prompt="If gear has been validated select Gear. If non-starter select DNS, if non-finisher select DNF." sqref="AG10:AG212 AF11:AF212" xr:uid="{00000000-0002-0000-0600-000000000000}">
      <formula1>"Gear,DNF,DNS"</formula1>
    </dataValidation>
    <dataValidation type="list" showInputMessage="1" showErrorMessage="1" errorTitle="ERROR" error="Please chose one of the specified selections." prompt="If gear has been validated select Gear. If non-starter select DNS, if non-finisher select DNF." sqref="AF10" xr:uid="{A9453C61-C606-439B-8B96-C5B31ADEF1B3}">
      <formula1>"Gear,DNF,DNS"</formula1>
    </dataValidation>
  </dataValidations>
  <pageMargins left="0.51181102362204722" right="0.51181102362204722" top="0.74803149606299213" bottom="0.74803149606299213"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FFC000"/>
  </sheetPr>
  <dimension ref="A1:AH209"/>
  <sheetViews>
    <sheetView showGridLines="0" topLeftCell="B1" workbookViewId="0">
      <selection activeCell="K10" sqref="K10:Q10"/>
    </sheetView>
  </sheetViews>
  <sheetFormatPr defaultRowHeight="13.15"/>
  <cols>
    <col min="1" max="1" width="4.7109375" hidden="1" customWidth="1"/>
    <col min="2" max="2" width="4.5703125" customWidth="1"/>
    <col min="3" max="3" width="3.7109375" customWidth="1"/>
    <col min="4" max="6" width="2.7109375" customWidth="1"/>
    <col min="7" max="7" width="1.85546875" customWidth="1"/>
    <col min="8" max="9" width="2.7109375" customWidth="1"/>
    <col min="10" max="10" width="2.28515625" customWidth="1"/>
    <col min="11" max="16" width="2.7109375" customWidth="1"/>
    <col min="17" max="17" width="4.140625" customWidth="1"/>
    <col min="18" max="18" width="3.85546875" customWidth="1"/>
    <col min="19" max="19" width="8.7109375" hidden="1" customWidth="1"/>
    <col min="20" max="20" width="2.7109375" customWidth="1"/>
    <col min="21" max="21" width="6.140625" customWidth="1"/>
    <col min="22" max="22" width="2.7109375" customWidth="1"/>
    <col min="23" max="23" width="1.5703125" customWidth="1"/>
    <col min="24" max="25" width="2.7109375" customWidth="1"/>
    <col min="26" max="26" width="4.7109375" customWidth="1"/>
    <col min="27" max="27" width="1.85546875" customWidth="1"/>
    <col min="28" max="28" width="1.5703125" customWidth="1"/>
    <col min="29" max="48" width="2.7109375" customWidth="1"/>
  </cols>
  <sheetData>
    <row r="1" spans="1:34" ht="56.25" customHeight="1">
      <c r="A1" s="28"/>
      <c r="B1" s="28"/>
      <c r="C1" s="28"/>
      <c r="D1" s="28"/>
      <c r="E1" s="28"/>
      <c r="F1" s="332" t="s">
        <v>106</v>
      </c>
      <c r="G1" s="332"/>
      <c r="H1" s="332"/>
      <c r="I1" s="332"/>
      <c r="J1" s="332"/>
      <c r="K1" s="332"/>
      <c r="L1" s="332"/>
      <c r="M1" s="332"/>
      <c r="N1" s="332"/>
      <c r="O1" s="332"/>
      <c r="P1" s="332"/>
      <c r="Q1" s="332"/>
      <c r="R1" s="332"/>
      <c r="S1" s="332"/>
      <c r="T1" s="332"/>
      <c r="U1" s="332"/>
      <c r="V1" s="332"/>
      <c r="W1" s="332"/>
      <c r="X1" s="332"/>
      <c r="Y1" s="332"/>
      <c r="Z1" s="332"/>
      <c r="AA1" s="332"/>
      <c r="AH1" s="7"/>
    </row>
    <row r="2" spans="1:34" ht="12.75" customHeight="1">
      <c r="A2" s="28"/>
      <c r="B2" s="28"/>
      <c r="C2" s="28"/>
      <c r="D2" s="28"/>
      <c r="E2" s="28"/>
      <c r="F2" s="28"/>
      <c r="G2" s="66"/>
      <c r="H2" s="28"/>
      <c r="I2" s="28"/>
      <c r="J2" s="28"/>
      <c r="K2" s="28"/>
      <c r="L2" s="28"/>
      <c r="M2" s="28"/>
      <c r="N2" s="28"/>
      <c r="O2" s="28"/>
      <c r="P2" s="28"/>
      <c r="Q2" s="28"/>
      <c r="R2" s="28"/>
      <c r="S2" s="28"/>
      <c r="T2" s="28"/>
      <c r="U2" s="28"/>
      <c r="V2" s="28"/>
      <c r="W2" s="28"/>
      <c r="X2" s="28"/>
      <c r="Y2" s="28"/>
      <c r="Z2" s="28"/>
      <c r="AA2" s="28"/>
    </row>
    <row r="3" spans="1:34">
      <c r="A3" s="28"/>
      <c r="B3" s="28"/>
      <c r="C3" s="28"/>
      <c r="D3" s="28"/>
      <c r="F3" s="3" t="s">
        <v>90</v>
      </c>
      <c r="H3" s="322" t="str">
        <f>(IF(FacingSheet!B8="","",FacingSheet!B8))</f>
        <v>Ronnie MacDonald 10 mile TT</v>
      </c>
      <c r="I3" s="322"/>
      <c r="J3" s="322"/>
      <c r="K3" s="322"/>
      <c r="L3" s="322"/>
      <c r="M3" s="322"/>
      <c r="N3" s="322"/>
      <c r="O3" s="322"/>
      <c r="P3" s="322"/>
      <c r="V3" s="3" t="s">
        <v>26</v>
      </c>
      <c r="X3" s="322" t="str">
        <f>(IF(FacingSheet!B14="","",FacingSheet!B14))</f>
        <v/>
      </c>
      <c r="Y3" s="322"/>
      <c r="Z3" s="322"/>
      <c r="AA3" s="322"/>
      <c r="AB3" s="191"/>
      <c r="AC3" s="191"/>
      <c r="AD3" s="191"/>
      <c r="AE3" s="191"/>
    </row>
    <row r="4" spans="1:34">
      <c r="A4" s="28"/>
      <c r="B4" s="28"/>
      <c r="C4" s="28"/>
      <c r="D4" s="28"/>
      <c r="F4" s="3" t="s">
        <v>91</v>
      </c>
      <c r="H4" s="323">
        <f>IF(ISERROR(FacingSheet!S9),"",FacingSheet!S9)</f>
        <v>45907</v>
      </c>
      <c r="I4" s="324"/>
      <c r="J4" s="324"/>
      <c r="K4" s="324"/>
      <c r="L4" s="324"/>
      <c r="M4" s="324"/>
      <c r="N4" s="324"/>
      <c r="O4" s="324"/>
      <c r="P4" s="324"/>
      <c r="V4" s="34" t="s">
        <v>24</v>
      </c>
      <c r="X4" s="324" t="str">
        <f>(IF(FacingSheet!B13="","",FacingSheet!B13))</f>
        <v>A9</v>
      </c>
      <c r="Y4" s="324"/>
      <c r="Z4" s="324"/>
      <c r="AA4" s="324"/>
      <c r="AB4" s="192"/>
      <c r="AC4" s="192"/>
      <c r="AD4" s="192"/>
      <c r="AE4" s="192"/>
    </row>
    <row r="5" spans="1:34">
      <c r="A5" s="28"/>
      <c r="B5" s="28"/>
      <c r="C5" s="28"/>
      <c r="D5" s="28"/>
      <c r="F5" s="34" t="s">
        <v>92</v>
      </c>
      <c r="H5" s="324">
        <f>IF(FacingSheet!B11="",FacingSheet!B12,FacingSheet!B11)</f>
        <v>10</v>
      </c>
      <c r="I5" s="324"/>
      <c r="J5" s="93" t="s">
        <v>93</v>
      </c>
      <c r="K5" s="44"/>
      <c r="L5" s="44"/>
      <c r="M5" s="44"/>
      <c r="N5" s="44"/>
      <c r="O5" s="44"/>
      <c r="P5" s="44"/>
      <c r="V5" s="3" t="s">
        <v>30</v>
      </c>
      <c r="X5" s="324" t="str">
        <f>(IF(FacingSheet!B17="","",FacingSheet!B17))</f>
        <v>Gavin Clarke</v>
      </c>
      <c r="Y5" s="324"/>
      <c r="Z5" s="324"/>
      <c r="AA5" s="324"/>
      <c r="AB5" s="192"/>
      <c r="AC5" s="192"/>
      <c r="AD5" s="192"/>
      <c r="AE5" s="192"/>
    </row>
    <row r="6" spans="1:34">
      <c r="A6" s="28"/>
      <c r="B6" s="28"/>
      <c r="C6" s="28"/>
      <c r="D6" s="28"/>
      <c r="F6" s="34" t="s">
        <v>27</v>
      </c>
      <c r="H6" s="321" t="str">
        <f>(IF(FacingSheet!B15="","",FacingSheet!B15))</f>
        <v>James Robertson</v>
      </c>
      <c r="I6" s="321"/>
      <c r="J6" s="321"/>
      <c r="K6" s="321"/>
      <c r="L6" s="321"/>
      <c r="M6" s="321"/>
      <c r="N6" s="321"/>
      <c r="O6" s="321"/>
      <c r="P6" s="321"/>
      <c r="V6" s="34" t="s">
        <v>94</v>
      </c>
      <c r="X6" s="343">
        <f>(IF(FacingSheet!B16="","",FacingSheet!B16))</f>
        <v>7713506988</v>
      </c>
      <c r="Y6" s="343"/>
      <c r="Z6" s="343"/>
      <c r="AA6" s="343"/>
      <c r="AB6" s="192"/>
      <c r="AC6" s="192"/>
      <c r="AD6" s="192"/>
      <c r="AE6" s="192"/>
    </row>
    <row r="7" spans="1:34" ht="7.5" customHeight="1">
      <c r="A7" s="28"/>
      <c r="B7" s="28"/>
      <c r="C7" s="28"/>
      <c r="D7" s="28"/>
      <c r="E7" s="28"/>
      <c r="F7" s="68"/>
      <c r="G7" s="28"/>
      <c r="H7" s="69"/>
      <c r="I7" s="69"/>
      <c r="J7" s="69"/>
      <c r="K7" s="69"/>
      <c r="L7" s="69"/>
      <c r="M7" s="69"/>
      <c r="N7" s="69"/>
      <c r="O7" s="69"/>
      <c r="P7" s="69"/>
      <c r="Q7" s="28"/>
      <c r="R7" s="28"/>
      <c r="S7" s="28"/>
      <c r="T7" s="28"/>
      <c r="U7" s="28"/>
      <c r="V7" s="68"/>
      <c r="W7" s="28"/>
      <c r="X7" s="69"/>
      <c r="Y7" s="69"/>
      <c r="Z7" s="69"/>
      <c r="AA7" s="69"/>
    </row>
    <row r="8" spans="1:34" ht="39.6">
      <c r="A8" s="195" t="s">
        <v>107</v>
      </c>
      <c r="B8" s="194"/>
      <c r="C8" s="194"/>
      <c r="D8" s="28"/>
      <c r="E8" s="101" t="s">
        <v>108</v>
      </c>
      <c r="F8" s="102"/>
      <c r="G8" s="102"/>
      <c r="H8" s="102"/>
      <c r="I8" s="102"/>
      <c r="J8" s="102"/>
      <c r="K8" s="102"/>
      <c r="L8" s="102"/>
      <c r="M8" s="102"/>
      <c r="N8" s="102"/>
      <c r="O8" s="102"/>
      <c r="P8" s="102"/>
      <c r="Q8" s="102"/>
      <c r="R8" s="102"/>
      <c r="S8" s="102"/>
      <c r="T8" s="102"/>
      <c r="U8" s="102"/>
      <c r="V8" s="102"/>
      <c r="W8" s="102"/>
      <c r="X8" s="102"/>
      <c r="Y8" s="102"/>
      <c r="Z8" s="102"/>
      <c r="AA8" s="102"/>
    </row>
    <row r="9" spans="1:34" ht="24.75" customHeight="1">
      <c r="A9" s="76" t="s">
        <v>103</v>
      </c>
      <c r="B9" s="76" t="s">
        <v>103</v>
      </c>
      <c r="C9" s="70" t="s">
        <v>71</v>
      </c>
      <c r="D9" s="71" t="s">
        <v>41</v>
      </c>
      <c r="E9" s="70"/>
      <c r="F9" s="28"/>
      <c r="G9" s="72"/>
      <c r="H9" s="28"/>
      <c r="I9" s="72"/>
      <c r="J9" s="72"/>
      <c r="K9" s="71" t="s">
        <v>98</v>
      </c>
      <c r="L9" s="28"/>
      <c r="M9" s="72"/>
      <c r="N9" s="28"/>
      <c r="O9" s="28"/>
      <c r="P9" s="72"/>
      <c r="Q9" s="72"/>
      <c r="R9" s="73" t="s">
        <v>43</v>
      </c>
      <c r="S9" s="72"/>
      <c r="U9" s="76" t="s">
        <v>109</v>
      </c>
      <c r="V9" s="75"/>
      <c r="W9" s="28"/>
      <c r="X9" s="333" t="s">
        <v>110</v>
      </c>
      <c r="Y9" s="335"/>
      <c r="Z9" s="335"/>
      <c r="AA9" s="28"/>
    </row>
    <row r="10" spans="1:34" ht="15" customHeight="1">
      <c r="A10" s="45">
        <v>1</v>
      </c>
      <c r="B10" s="135">
        <v>1</v>
      </c>
      <c r="C10" s="136">
        <f t="shared" ref="C10:C41" si="0">IF(IF(ISNA(VLOOKUP(A10,StartListHC,2,FALSE)),"",VLOOKUP(A10,StartListHC,2,FALSE))=0,"",IF(ISNA(VLOOKUP(A10,StartListHC,2,FALSE)),"",VLOOKUP(A10,StartListHC,2,FALSE)))</f>
        <v>19</v>
      </c>
      <c r="D10" s="380" t="str">
        <f t="shared" ref="D10:D41" si="1">IF(IF(ISNA(VLOOKUP(A10,StartListHC,3,FALSE)),"",VLOOKUP(A10,StartListHC,3,FALSE))=0,"",IF(ISNA(VLOOKUP(A10,StartListHC,3,FALSE)),"",VLOOKUP(A10,StartListHC,3,FALSE)))</f>
        <v>Zoe Newsam</v>
      </c>
      <c r="E10" s="380"/>
      <c r="F10" s="380"/>
      <c r="G10" s="380"/>
      <c r="H10" s="380"/>
      <c r="I10" s="380"/>
      <c r="J10" s="380"/>
      <c r="K10" s="380" t="str">
        <f t="shared" ref="K10:K41" si="2">IF(IF(ISNA(VLOOKUP(A10,StartListHC,4,FALSE)),"",VLOOKUP(A10,StartListHC,4,FALSE))=0,"",IF(ISNA(VLOOKUP(A10,StartListHC,4,FALSE)),"",VLOOKUP(A10,StartListHC,4,FALSE)))</f>
        <v>Scottish Veterans T.T.A.</v>
      </c>
      <c r="L10" s="380"/>
      <c r="M10" s="380"/>
      <c r="N10" s="380"/>
      <c r="O10" s="380"/>
      <c r="P10" s="380"/>
      <c r="Q10" s="380"/>
      <c r="R10" s="137" t="str">
        <f t="shared" ref="R10:R41" si="3">IF(IF(ISNA(VLOOKUP(A10,StartListHC,6,FALSE)),"",VLOOKUP(A10,StartListHC,6,FALSE))=0,"",IF(ISNA(VLOOKUP(A10,StartListHC,6,FALSE)),"",VLOOKUP(A10,StartListHC,6,FALSE)))</f>
        <v>FV</v>
      </c>
      <c r="S10" s="136" t="str">
        <f t="shared" ref="S10:S41" si="4">IF(IF(ISNA(VLOOKUP(A10,StartList,6,FALSE)),"",VLOOKUP(A10,StartList,6,FALSE))=0,"",IF(ISNA(VLOOKUP(A10,StartList,6,FALSE)),"",VLOOKUP(A10,StartList,6,FALSE)))</f>
        <v>1826973</v>
      </c>
      <c r="T10" s="344">
        <f t="shared" ref="T10:T41" si="5">IF(IF(ISNA(VLOOKUP(A10,StartListHC,9,FALSE)),"",VLOOKUP(A10,StartListHC,9,FALSE))=0,"",IF(ISNA(VLOOKUP(A10,StartListHC,9,FALSE)),"",VLOOKUP(A10,StartListHC,9,FALSE)))</f>
        <v>1.9490740740740808E-2</v>
      </c>
      <c r="U10" s="345"/>
      <c r="V10" s="346"/>
      <c r="W10" s="167"/>
      <c r="X10" s="347">
        <f t="shared" ref="X10" si="6">IF(IF(ISNA(VLOOKUP(A10,StartListHC,12,FALSE)),"",VLOOKUP(A10,StartListHC,12,FALSE))=0,"",IF(ISNA(VLOOKUP(A10,StartListHC,12,FALSE)),"",VLOOKUP(A10,StartListHC,12,FALSE)))</f>
        <v>1.2561430346909912E-2</v>
      </c>
      <c r="Y10" s="345"/>
      <c r="Z10" s="348"/>
      <c r="AA10" s="4"/>
    </row>
    <row r="11" spans="1:34" ht="15" customHeight="1">
      <c r="A11" s="43">
        <v>2</v>
      </c>
      <c r="B11" s="141">
        <v>2</v>
      </c>
      <c r="C11" s="142">
        <f t="shared" si="0"/>
        <v>52</v>
      </c>
      <c r="D11" s="381" t="str">
        <f t="shared" si="1"/>
        <v>Bruce Paterson</v>
      </c>
      <c r="E11" s="381"/>
      <c r="F11" s="381"/>
      <c r="G11" s="381"/>
      <c r="H11" s="381"/>
      <c r="I11" s="381"/>
      <c r="J11" s="381"/>
      <c r="K11" s="381" t="str">
        <f t="shared" si="2"/>
        <v>Moray Firth Cycling Club</v>
      </c>
      <c r="L11" s="381"/>
      <c r="M11" s="381"/>
      <c r="N11" s="381"/>
      <c r="O11" s="381"/>
      <c r="P11" s="381"/>
      <c r="Q11" s="381"/>
      <c r="R11" s="143" t="str">
        <f t="shared" si="3"/>
        <v>S</v>
      </c>
      <c r="S11" s="142" t="str">
        <f t="shared" si="4"/>
        <v>1673941</v>
      </c>
      <c r="T11" s="349">
        <f t="shared" si="5"/>
        <v>1.56481481481483E-2</v>
      </c>
      <c r="U11" s="350"/>
      <c r="V11" s="351"/>
      <c r="W11" s="176"/>
      <c r="X11" s="352">
        <f t="shared" ref="X11:X74" si="7">IF(IF(ISNA(VLOOKUP(A11,StartListHC,12,FALSE)),"",VLOOKUP(A11,StartListHC,12,FALSE))=0,"",IF(ISNA(VLOOKUP(A11,StartListHC,12,FALSE)),"",VLOOKUP(A11,StartListHC,12,FALSE)))</f>
        <v>1.2921701923907332E-2</v>
      </c>
      <c r="Y11" s="350"/>
      <c r="Z11" s="353"/>
      <c r="AA11" s="4"/>
    </row>
    <row r="12" spans="1:34" ht="15" customHeight="1">
      <c r="A12" s="43">
        <v>3</v>
      </c>
      <c r="B12" s="141">
        <v>3</v>
      </c>
      <c r="C12" s="142">
        <f t="shared" si="0"/>
        <v>62</v>
      </c>
      <c r="D12" s="381" t="str">
        <f t="shared" si="1"/>
        <v>Logan Anderson</v>
      </c>
      <c r="E12" s="381"/>
      <c r="F12" s="381"/>
      <c r="G12" s="381"/>
      <c r="H12" s="381"/>
      <c r="I12" s="381"/>
      <c r="J12" s="381"/>
      <c r="K12" s="381" t="str">
        <f t="shared" si="2"/>
        <v>Moray Firth Cycling Club</v>
      </c>
      <c r="L12" s="381"/>
      <c r="M12" s="381"/>
      <c r="N12" s="381"/>
      <c r="O12" s="381"/>
      <c r="P12" s="381"/>
      <c r="Q12" s="381"/>
      <c r="R12" s="143" t="str">
        <f t="shared" si="3"/>
        <v>YM</v>
      </c>
      <c r="S12" s="142" t="str">
        <f t="shared" si="4"/>
        <v>1458410</v>
      </c>
      <c r="T12" s="349">
        <f t="shared" si="5"/>
        <v>1.614583333333347E-2</v>
      </c>
      <c r="U12" s="350"/>
      <c r="V12" s="351"/>
      <c r="W12" s="176"/>
      <c r="X12" s="352">
        <f t="shared" si="7"/>
        <v>1.2996394625582459E-2</v>
      </c>
      <c r="Y12" s="350"/>
      <c r="Z12" s="353"/>
      <c r="AA12" s="4"/>
    </row>
    <row r="13" spans="1:34" ht="15" customHeight="1">
      <c r="A13" s="43">
        <v>4</v>
      </c>
      <c r="B13" s="141">
        <v>4</v>
      </c>
      <c r="C13" s="142">
        <f t="shared" si="0"/>
        <v>3</v>
      </c>
      <c r="D13" s="381" t="str">
        <f t="shared" si="1"/>
        <v>Alan Horsburgh</v>
      </c>
      <c r="E13" s="381"/>
      <c r="F13" s="381"/>
      <c r="G13" s="381"/>
      <c r="H13" s="381"/>
      <c r="I13" s="381"/>
      <c r="J13" s="381"/>
      <c r="K13" s="381" t="str">
        <f t="shared" si="2"/>
        <v>Inverness Cycle Club</v>
      </c>
      <c r="L13" s="381"/>
      <c r="M13" s="381"/>
      <c r="N13" s="381"/>
      <c r="O13" s="381"/>
      <c r="P13" s="381"/>
      <c r="Q13" s="381"/>
      <c r="R13" s="143" t="str">
        <f t="shared" si="3"/>
        <v>V</v>
      </c>
      <c r="S13" s="142" t="str">
        <f t="shared" si="4"/>
        <v>1244492</v>
      </c>
      <c r="T13" s="349">
        <f t="shared" si="5"/>
        <v>1.6597222222222208E-2</v>
      </c>
      <c r="U13" s="350"/>
      <c r="V13" s="351"/>
      <c r="W13" s="176"/>
      <c r="X13" s="352">
        <f t="shared" si="7"/>
        <v>1.3220372845033038E-2</v>
      </c>
      <c r="Y13" s="350"/>
      <c r="Z13" s="353"/>
      <c r="AA13" s="4"/>
    </row>
    <row r="14" spans="1:34" ht="15" customHeight="1">
      <c r="A14" s="43">
        <v>5</v>
      </c>
      <c r="B14" s="141">
        <v>5</v>
      </c>
      <c r="C14" s="142">
        <f t="shared" si="0"/>
        <v>17</v>
      </c>
      <c r="D14" s="381" t="str">
        <f t="shared" si="1"/>
        <v>Kenneth McKenzie</v>
      </c>
      <c r="E14" s="381"/>
      <c r="F14" s="381"/>
      <c r="G14" s="381"/>
      <c r="H14" s="381"/>
      <c r="I14" s="381"/>
      <c r="J14" s="381"/>
      <c r="K14" s="381" t="str">
        <f t="shared" si="2"/>
        <v>Ross-Shire RCC</v>
      </c>
      <c r="L14" s="381"/>
      <c r="M14" s="381"/>
      <c r="N14" s="381"/>
      <c r="O14" s="381"/>
      <c r="P14" s="381"/>
      <c r="Q14" s="381"/>
      <c r="R14" s="143" t="str">
        <f t="shared" si="3"/>
        <v>V</v>
      </c>
      <c r="S14" s="142" t="str">
        <f t="shared" si="4"/>
        <v>1554243</v>
      </c>
      <c r="T14" s="349">
        <f t="shared" si="5"/>
        <v>1.5682870370370416E-2</v>
      </c>
      <c r="U14" s="350"/>
      <c r="V14" s="351"/>
      <c r="W14" s="176"/>
      <c r="X14" s="352">
        <f t="shared" si="7"/>
        <v>1.3566679800208191E-2</v>
      </c>
      <c r="Y14" s="350"/>
      <c r="Z14" s="353"/>
      <c r="AA14" s="4"/>
    </row>
    <row r="15" spans="1:34" ht="15" customHeight="1">
      <c r="A15" s="43">
        <v>6</v>
      </c>
      <c r="B15" s="141">
        <v>6</v>
      </c>
      <c r="C15" s="142">
        <f t="shared" si="0"/>
        <v>11</v>
      </c>
      <c r="D15" s="381" t="str">
        <f t="shared" si="1"/>
        <v>Breagha Beaton</v>
      </c>
      <c r="E15" s="381"/>
      <c r="F15" s="381"/>
      <c r="G15" s="381"/>
      <c r="H15" s="381"/>
      <c r="I15" s="381"/>
      <c r="J15" s="381"/>
      <c r="K15" s="381" t="str">
        <f t="shared" si="2"/>
        <v>Moray Firth Cycling Club</v>
      </c>
      <c r="L15" s="381"/>
      <c r="M15" s="381"/>
      <c r="N15" s="381"/>
      <c r="O15" s="381"/>
      <c r="P15" s="381"/>
      <c r="Q15" s="381"/>
      <c r="R15" s="143" t="str">
        <f t="shared" si="3"/>
        <v>F</v>
      </c>
      <c r="S15" s="142" t="str">
        <f t="shared" si="4"/>
        <v>1382142</v>
      </c>
      <c r="T15" s="349">
        <f t="shared" si="5"/>
        <v>1.7442129629629655E-2</v>
      </c>
      <c r="U15" s="350"/>
      <c r="V15" s="351"/>
      <c r="W15" s="176"/>
      <c r="X15" s="352">
        <f t="shared" si="7"/>
        <v>1.3598655751088703E-2</v>
      </c>
      <c r="Y15" s="350"/>
      <c r="Z15" s="353"/>
      <c r="AA15" s="4"/>
    </row>
    <row r="16" spans="1:34" ht="15" customHeight="1">
      <c r="A16" s="43">
        <v>7</v>
      </c>
      <c r="B16" s="141" t="s">
        <v>111</v>
      </c>
      <c r="C16" s="142">
        <f t="shared" si="0"/>
        <v>12</v>
      </c>
      <c r="D16" s="381" t="str">
        <f t="shared" si="1"/>
        <v>Ruth Jeays</v>
      </c>
      <c r="E16" s="381"/>
      <c r="F16" s="381"/>
      <c r="G16" s="381"/>
      <c r="H16" s="381"/>
      <c r="I16" s="381"/>
      <c r="J16" s="381"/>
      <c r="K16" s="381" t="str">
        <f t="shared" si="2"/>
        <v>Revolution CT</v>
      </c>
      <c r="L16" s="381"/>
      <c r="M16" s="381"/>
      <c r="N16" s="381"/>
      <c r="O16" s="381"/>
      <c r="P16" s="381"/>
      <c r="Q16" s="381"/>
      <c r="R16" s="143" t="str">
        <f t="shared" si="3"/>
        <v>FV</v>
      </c>
      <c r="S16" s="142" t="str">
        <f t="shared" si="4"/>
        <v>833363</v>
      </c>
      <c r="T16" s="349">
        <f t="shared" si="5"/>
        <v>1.7685185185185193E-2</v>
      </c>
      <c r="U16" s="350"/>
      <c r="V16" s="351"/>
      <c r="W16" s="176"/>
      <c r="X16" s="352">
        <f t="shared" si="7"/>
        <v>1.3676010121253482E-2</v>
      </c>
      <c r="Y16" s="350"/>
      <c r="Z16" s="353"/>
      <c r="AA16" s="4"/>
    </row>
    <row r="17" spans="1:27" ht="15" customHeight="1">
      <c r="A17" s="43">
        <v>8</v>
      </c>
      <c r="B17" s="141" t="s">
        <v>111</v>
      </c>
      <c r="C17" s="142">
        <f t="shared" si="0"/>
        <v>66</v>
      </c>
      <c r="D17" s="381" t="str">
        <f t="shared" si="1"/>
        <v>Scott Davidson</v>
      </c>
      <c r="E17" s="381"/>
      <c r="F17" s="381"/>
      <c r="G17" s="381"/>
      <c r="H17" s="381"/>
      <c r="I17" s="381"/>
      <c r="J17" s="381"/>
      <c r="K17" s="381" t="str">
        <f t="shared" si="2"/>
        <v>Moray Firth Cycling Club</v>
      </c>
      <c r="L17" s="381"/>
      <c r="M17" s="381"/>
      <c r="N17" s="381"/>
      <c r="O17" s="381"/>
      <c r="P17" s="381"/>
      <c r="Q17" s="381"/>
      <c r="R17" s="143" t="str">
        <f t="shared" si="3"/>
        <v>S</v>
      </c>
      <c r="S17" s="142" t="str">
        <f t="shared" si="4"/>
        <v>1108729</v>
      </c>
      <c r="T17" s="349">
        <f t="shared" si="5"/>
        <v>1.462962962962977E-2</v>
      </c>
      <c r="U17" s="350"/>
      <c r="V17" s="351"/>
      <c r="W17" s="176"/>
      <c r="X17" s="352">
        <f t="shared" si="7"/>
        <v>1.3706978800423816E-2</v>
      </c>
      <c r="Y17" s="350"/>
      <c r="Z17" s="353"/>
      <c r="AA17" s="4"/>
    </row>
    <row r="18" spans="1:27" ht="15" customHeight="1">
      <c r="A18" s="43">
        <v>9</v>
      </c>
      <c r="B18" s="141">
        <v>9</v>
      </c>
      <c r="C18" s="142">
        <f t="shared" si="0"/>
        <v>21</v>
      </c>
      <c r="D18" s="381" t="str">
        <f t="shared" si="1"/>
        <v>Amy Renwick</v>
      </c>
      <c r="E18" s="381"/>
      <c r="F18" s="381"/>
      <c r="G18" s="381"/>
      <c r="H18" s="381"/>
      <c r="I18" s="381"/>
      <c r="J18" s="381"/>
      <c r="K18" s="381" t="str">
        <f t="shared" si="2"/>
        <v>Moray Firth Cycling Club</v>
      </c>
      <c r="L18" s="381"/>
      <c r="M18" s="381"/>
      <c r="N18" s="381"/>
      <c r="O18" s="381"/>
      <c r="P18" s="381"/>
      <c r="Q18" s="381"/>
      <c r="R18" s="143" t="str">
        <f t="shared" si="3"/>
        <v>F</v>
      </c>
      <c r="S18" s="142" t="str">
        <f t="shared" si="4"/>
        <v>1346317</v>
      </c>
      <c r="T18" s="349">
        <f t="shared" si="5"/>
        <v>1.7847222222222292E-2</v>
      </c>
      <c r="U18" s="350"/>
      <c r="V18" s="351"/>
      <c r="W18" s="176"/>
      <c r="X18" s="352">
        <f t="shared" si="7"/>
        <v>1.3755637747388253E-2</v>
      </c>
      <c r="Y18" s="350"/>
      <c r="Z18" s="353"/>
      <c r="AA18" s="4"/>
    </row>
    <row r="19" spans="1:27" ht="15" customHeight="1">
      <c r="A19" s="43">
        <v>10</v>
      </c>
      <c r="B19" s="141">
        <v>10</v>
      </c>
      <c r="C19" s="142">
        <f t="shared" si="0"/>
        <v>31</v>
      </c>
      <c r="D19" s="381" t="str">
        <f t="shared" si="1"/>
        <v>Angus Brumhead</v>
      </c>
      <c r="E19" s="381"/>
      <c r="F19" s="381"/>
      <c r="G19" s="381"/>
      <c r="H19" s="381"/>
      <c r="I19" s="381"/>
      <c r="J19" s="381"/>
      <c r="K19" s="381" t="str">
        <f t="shared" si="2"/>
        <v>Inverness Cycle Club</v>
      </c>
      <c r="L19" s="381"/>
      <c r="M19" s="381"/>
      <c r="N19" s="381"/>
      <c r="O19" s="381"/>
      <c r="P19" s="381"/>
      <c r="Q19" s="381"/>
      <c r="R19" s="143" t="str">
        <f t="shared" si="3"/>
        <v>V</v>
      </c>
      <c r="S19" s="142" t="str">
        <f t="shared" si="4"/>
        <v>441717</v>
      </c>
      <c r="T19" s="349">
        <f t="shared" si="5"/>
        <v>1.7372685185185255E-2</v>
      </c>
      <c r="U19" s="350"/>
      <c r="V19" s="351"/>
      <c r="W19" s="176"/>
      <c r="X19" s="352">
        <f t="shared" si="7"/>
        <v>1.380804679324248E-2</v>
      </c>
      <c r="Y19" s="350"/>
      <c r="Z19" s="353"/>
      <c r="AA19" s="4"/>
    </row>
    <row r="20" spans="1:27" ht="15" customHeight="1">
      <c r="A20" s="43">
        <v>11</v>
      </c>
      <c r="B20" s="141">
        <v>11</v>
      </c>
      <c r="C20" s="142">
        <f t="shared" si="0"/>
        <v>44</v>
      </c>
      <c r="D20" s="381" t="str">
        <f t="shared" si="1"/>
        <v>Robert Cowie</v>
      </c>
      <c r="E20" s="381"/>
      <c r="F20" s="381"/>
      <c r="G20" s="381"/>
      <c r="H20" s="381"/>
      <c r="I20" s="381"/>
      <c r="J20" s="381"/>
      <c r="K20" s="381" t="str">
        <f t="shared" si="2"/>
        <v>Aberdeen Wheelers Cycling Club</v>
      </c>
      <c r="L20" s="381"/>
      <c r="M20" s="381"/>
      <c r="N20" s="381"/>
      <c r="O20" s="381"/>
      <c r="P20" s="381"/>
      <c r="Q20" s="381"/>
      <c r="R20" s="143" t="str">
        <f t="shared" si="3"/>
        <v>V</v>
      </c>
      <c r="S20" s="142" t="str">
        <f t="shared" si="4"/>
        <v>1085571</v>
      </c>
      <c r="T20" s="349">
        <f t="shared" si="5"/>
        <v>1.5798611111111194E-2</v>
      </c>
      <c r="U20" s="350"/>
      <c r="V20" s="351"/>
      <c r="W20" s="176"/>
      <c r="X20" s="352">
        <f t="shared" si="7"/>
        <v>1.3822683297570911E-2</v>
      </c>
      <c r="Y20" s="350"/>
      <c r="Z20" s="353"/>
      <c r="AA20" s="4"/>
    </row>
    <row r="21" spans="1:27" ht="15" customHeight="1">
      <c r="A21" s="43">
        <v>12</v>
      </c>
      <c r="B21" s="141">
        <v>12</v>
      </c>
      <c r="C21" s="142">
        <f t="shared" si="0"/>
        <v>36</v>
      </c>
      <c r="D21" s="381" t="str">
        <f t="shared" si="1"/>
        <v>Malcolm Cleghorn</v>
      </c>
      <c r="E21" s="381"/>
      <c r="F21" s="381"/>
      <c r="G21" s="381"/>
      <c r="H21" s="381"/>
      <c r="I21" s="381"/>
      <c r="J21" s="381"/>
      <c r="K21" s="381" t="str">
        <f t="shared" si="2"/>
        <v>Ross-Shire RCC</v>
      </c>
      <c r="L21" s="381"/>
      <c r="M21" s="381"/>
      <c r="N21" s="381"/>
      <c r="O21" s="381"/>
      <c r="P21" s="381"/>
      <c r="Q21" s="381"/>
      <c r="R21" s="143" t="str">
        <f t="shared" si="3"/>
        <v>V</v>
      </c>
      <c r="S21" s="142" t="str">
        <f t="shared" si="4"/>
        <v>968561</v>
      </c>
      <c r="T21" s="349">
        <f t="shared" si="5"/>
        <v>1.8182870370370474E-2</v>
      </c>
      <c r="U21" s="350"/>
      <c r="V21" s="351"/>
      <c r="W21" s="176"/>
      <c r="X21" s="352">
        <f t="shared" si="7"/>
        <v>1.3881998437120235E-2</v>
      </c>
      <c r="Y21" s="350"/>
      <c r="Z21" s="353"/>
      <c r="AA21" s="4"/>
    </row>
    <row r="22" spans="1:27" ht="15" customHeight="1">
      <c r="A22" s="43">
        <v>13</v>
      </c>
      <c r="B22" s="141">
        <v>13</v>
      </c>
      <c r="C22" s="142">
        <f t="shared" si="0"/>
        <v>14</v>
      </c>
      <c r="D22" s="381" t="str">
        <f t="shared" si="1"/>
        <v>Michael Mcinnes</v>
      </c>
      <c r="E22" s="381"/>
      <c r="F22" s="381"/>
      <c r="G22" s="381"/>
      <c r="H22" s="381"/>
      <c r="I22" s="381"/>
      <c r="J22" s="381"/>
      <c r="K22" s="381" t="str">
        <f t="shared" si="2"/>
        <v>Moray Firth Cycling Club</v>
      </c>
      <c r="L22" s="381"/>
      <c r="M22" s="381"/>
      <c r="N22" s="381"/>
      <c r="O22" s="381"/>
      <c r="P22" s="381"/>
      <c r="Q22" s="381"/>
      <c r="R22" s="143" t="str">
        <f t="shared" si="3"/>
        <v>V</v>
      </c>
      <c r="S22" s="142" t="str">
        <f t="shared" si="4"/>
        <v>1175717</v>
      </c>
      <c r="T22" s="349">
        <f t="shared" si="5"/>
        <v>1.6678240740740757E-2</v>
      </c>
      <c r="U22" s="350"/>
      <c r="V22" s="351"/>
      <c r="W22" s="176"/>
      <c r="X22" s="352">
        <f t="shared" si="7"/>
        <v>1.3903319823735971E-2</v>
      </c>
      <c r="Y22" s="350"/>
      <c r="Z22" s="353"/>
      <c r="AA22" s="4"/>
    </row>
    <row r="23" spans="1:27" ht="15" customHeight="1">
      <c r="A23" s="43">
        <v>14</v>
      </c>
      <c r="B23" s="141">
        <v>14</v>
      </c>
      <c r="C23" s="142">
        <f t="shared" si="0"/>
        <v>2</v>
      </c>
      <c r="D23" s="381" t="str">
        <f t="shared" si="1"/>
        <v>Stan MacKenzie</v>
      </c>
      <c r="E23" s="381"/>
      <c r="F23" s="381"/>
      <c r="G23" s="381"/>
      <c r="H23" s="381"/>
      <c r="I23" s="381"/>
      <c r="J23" s="381"/>
      <c r="K23" s="381" t="str">
        <f t="shared" si="2"/>
        <v>Ross-Shire RCC</v>
      </c>
      <c r="L23" s="381"/>
      <c r="M23" s="381"/>
      <c r="N23" s="381"/>
      <c r="O23" s="381"/>
      <c r="P23" s="381"/>
      <c r="Q23" s="381"/>
      <c r="R23" s="143" t="str">
        <f t="shared" si="3"/>
        <v>V</v>
      </c>
      <c r="S23" s="142" t="str">
        <f t="shared" si="4"/>
        <v>1824581</v>
      </c>
      <c r="T23" s="349">
        <f t="shared" si="5"/>
        <v>1.8402777777777768E-2</v>
      </c>
      <c r="U23" s="350"/>
      <c r="V23" s="351"/>
      <c r="W23" s="176"/>
      <c r="X23" s="352">
        <f t="shared" si="7"/>
        <v>1.3912439975820121E-2</v>
      </c>
      <c r="Y23" s="350"/>
      <c r="Z23" s="353"/>
      <c r="AA23" s="4"/>
    </row>
    <row r="24" spans="1:27" ht="15" customHeight="1">
      <c r="A24" s="43">
        <v>15</v>
      </c>
      <c r="B24" s="141">
        <v>15</v>
      </c>
      <c r="C24" s="142">
        <f t="shared" si="0"/>
        <v>32</v>
      </c>
      <c r="D24" s="381" t="str">
        <f t="shared" si="1"/>
        <v>Kyle Cattanach</v>
      </c>
      <c r="E24" s="381"/>
      <c r="F24" s="381"/>
      <c r="G24" s="381"/>
      <c r="H24" s="381"/>
      <c r="I24" s="381"/>
      <c r="J24" s="381"/>
      <c r="K24" s="381" t="str">
        <f t="shared" si="2"/>
        <v>Moray Firth Cycling Club</v>
      </c>
      <c r="L24" s="381"/>
      <c r="M24" s="381"/>
      <c r="N24" s="381"/>
      <c r="O24" s="381"/>
      <c r="P24" s="381"/>
      <c r="Q24" s="381"/>
      <c r="R24" s="143" t="str">
        <f t="shared" si="3"/>
        <v>S</v>
      </c>
      <c r="S24" s="142" t="str">
        <f t="shared" si="4"/>
        <v>1823463</v>
      </c>
      <c r="T24" s="349">
        <f t="shared" si="5"/>
        <v>1.7013888888888995E-2</v>
      </c>
      <c r="U24" s="350"/>
      <c r="V24" s="351"/>
      <c r="W24" s="176"/>
      <c r="X24" s="352">
        <f t="shared" si="7"/>
        <v>1.3921662008739077E-2</v>
      </c>
      <c r="Y24" s="350"/>
      <c r="Z24" s="353"/>
      <c r="AA24" s="4"/>
    </row>
    <row r="25" spans="1:27" ht="15" customHeight="1">
      <c r="A25" s="43">
        <v>16</v>
      </c>
      <c r="B25" s="141">
        <v>16</v>
      </c>
      <c r="C25" s="142">
        <f t="shared" si="0"/>
        <v>46</v>
      </c>
      <c r="D25" s="381" t="str">
        <f t="shared" si="1"/>
        <v>Paul Mason</v>
      </c>
      <c r="E25" s="381"/>
      <c r="F25" s="381"/>
      <c r="G25" s="381"/>
      <c r="H25" s="381"/>
      <c r="I25" s="381"/>
      <c r="J25" s="381"/>
      <c r="K25" s="381" t="str">
        <f t="shared" si="2"/>
        <v>Royal Navy Cycling</v>
      </c>
      <c r="L25" s="381"/>
      <c r="M25" s="381"/>
      <c r="N25" s="381"/>
      <c r="O25" s="381"/>
      <c r="P25" s="381"/>
      <c r="Q25" s="381"/>
      <c r="R25" s="143" t="str">
        <f t="shared" si="3"/>
        <v>V</v>
      </c>
      <c r="S25" s="142" t="str">
        <f t="shared" si="4"/>
        <v>428942</v>
      </c>
      <c r="T25" s="349">
        <f t="shared" si="5"/>
        <v>2.0520833333333433E-2</v>
      </c>
      <c r="U25" s="350"/>
      <c r="V25" s="351"/>
      <c r="W25" s="176"/>
      <c r="X25" s="352">
        <f t="shared" si="7"/>
        <v>1.393418872325429E-2</v>
      </c>
      <c r="Y25" s="350"/>
      <c r="Z25" s="353"/>
      <c r="AA25" s="4"/>
    </row>
    <row r="26" spans="1:27" ht="15" customHeight="1">
      <c r="A26" s="43">
        <v>17</v>
      </c>
      <c r="B26" s="141">
        <v>17</v>
      </c>
      <c r="C26" s="142">
        <f t="shared" si="0"/>
        <v>42</v>
      </c>
      <c r="D26" s="381" t="str">
        <f t="shared" si="1"/>
        <v>Martin Lugg</v>
      </c>
      <c r="E26" s="381"/>
      <c r="F26" s="381"/>
      <c r="G26" s="381"/>
      <c r="H26" s="381"/>
      <c r="I26" s="381"/>
      <c r="J26" s="381"/>
      <c r="K26" s="381" t="str">
        <f t="shared" si="2"/>
        <v>Revolution CT</v>
      </c>
      <c r="L26" s="381"/>
      <c r="M26" s="381"/>
      <c r="N26" s="381"/>
      <c r="O26" s="381"/>
      <c r="P26" s="381"/>
      <c r="Q26" s="381"/>
      <c r="R26" s="143" t="str">
        <f t="shared" si="3"/>
        <v>V</v>
      </c>
      <c r="S26" s="142" t="str">
        <f t="shared" si="4"/>
        <v>436318</v>
      </c>
      <c r="T26" s="349">
        <f t="shared" si="5"/>
        <v>1.7719907407407531E-2</v>
      </c>
      <c r="U26" s="350"/>
      <c r="V26" s="351"/>
      <c r="W26" s="176"/>
      <c r="X26" s="352">
        <f t="shared" si="7"/>
        <v>1.3959730782830145E-2</v>
      </c>
      <c r="Y26" s="350"/>
      <c r="Z26" s="353"/>
      <c r="AA26" s="4"/>
    </row>
    <row r="27" spans="1:27" ht="15" customHeight="1">
      <c r="A27" s="43">
        <v>18</v>
      </c>
      <c r="B27" s="141">
        <v>18</v>
      </c>
      <c r="C27" s="142">
        <f t="shared" si="0"/>
        <v>64</v>
      </c>
      <c r="D27" s="381" t="str">
        <f t="shared" si="1"/>
        <v>Michael Maciver</v>
      </c>
      <c r="E27" s="381"/>
      <c r="F27" s="381"/>
      <c r="G27" s="381"/>
      <c r="H27" s="381"/>
      <c r="I27" s="381"/>
      <c r="J27" s="381"/>
      <c r="K27" s="381" t="str">
        <f t="shared" si="2"/>
        <v>Ross-Shire RCC</v>
      </c>
      <c r="L27" s="381"/>
      <c r="M27" s="381"/>
      <c r="N27" s="381"/>
      <c r="O27" s="381"/>
      <c r="P27" s="381"/>
      <c r="Q27" s="381"/>
      <c r="R27" s="143" t="str">
        <f t="shared" si="3"/>
        <v>S</v>
      </c>
      <c r="S27" s="142" t="str">
        <f t="shared" si="4"/>
        <v>430399</v>
      </c>
      <c r="T27" s="349">
        <f t="shared" si="5"/>
        <v>1.6458333333333464E-2</v>
      </c>
      <c r="U27" s="350"/>
      <c r="V27" s="351"/>
      <c r="W27" s="176"/>
      <c r="X27" s="352">
        <f t="shared" si="7"/>
        <v>1.3966069608690996E-2</v>
      </c>
      <c r="Y27" s="350"/>
      <c r="Z27" s="353"/>
      <c r="AA27" s="4"/>
    </row>
    <row r="28" spans="1:27" ht="15" customHeight="1">
      <c r="A28" s="43">
        <v>19</v>
      </c>
      <c r="B28" s="141">
        <v>19</v>
      </c>
      <c r="C28" s="142">
        <f t="shared" si="0"/>
        <v>15</v>
      </c>
      <c r="D28" s="381" t="str">
        <f t="shared" si="1"/>
        <v>Alasdair Munro</v>
      </c>
      <c r="E28" s="381"/>
      <c r="F28" s="381"/>
      <c r="G28" s="381"/>
      <c r="H28" s="381"/>
      <c r="I28" s="381"/>
      <c r="J28" s="381"/>
      <c r="K28" s="381" t="str">
        <f t="shared" si="2"/>
        <v>RT23</v>
      </c>
      <c r="L28" s="381"/>
      <c r="M28" s="381"/>
      <c r="N28" s="381"/>
      <c r="O28" s="381"/>
      <c r="P28" s="381"/>
      <c r="Q28" s="381"/>
      <c r="R28" s="143" t="str">
        <f t="shared" si="3"/>
        <v>S</v>
      </c>
      <c r="S28" s="142" t="str">
        <f t="shared" si="4"/>
        <v>1494994</v>
      </c>
      <c r="T28" s="349">
        <f t="shared" si="5"/>
        <v>1.461805555555562E-2</v>
      </c>
      <c r="U28" s="350"/>
      <c r="V28" s="351"/>
      <c r="W28" s="176"/>
      <c r="X28" s="352">
        <f t="shared" si="7"/>
        <v>1.3974166736067072E-2</v>
      </c>
      <c r="Y28" s="350"/>
      <c r="Z28" s="353"/>
      <c r="AA28" s="4"/>
    </row>
    <row r="29" spans="1:27" ht="15" customHeight="1">
      <c r="A29" s="43">
        <v>20</v>
      </c>
      <c r="B29" s="141">
        <v>20</v>
      </c>
      <c r="C29" s="142">
        <f t="shared" si="0"/>
        <v>40</v>
      </c>
      <c r="D29" s="381" t="str">
        <f t="shared" si="1"/>
        <v>Daniel Long</v>
      </c>
      <c r="E29" s="381"/>
      <c r="F29" s="381"/>
      <c r="G29" s="381"/>
      <c r="H29" s="381"/>
      <c r="I29" s="381"/>
      <c r="J29" s="381"/>
      <c r="K29" s="381" t="str">
        <f t="shared" si="2"/>
        <v>Elgin CC</v>
      </c>
      <c r="L29" s="381"/>
      <c r="M29" s="381"/>
      <c r="N29" s="381"/>
      <c r="O29" s="381"/>
      <c r="P29" s="381"/>
      <c r="Q29" s="381"/>
      <c r="R29" s="143" t="str">
        <f t="shared" si="3"/>
        <v>V</v>
      </c>
      <c r="S29" s="142" t="str">
        <f t="shared" si="4"/>
        <v>1423884</v>
      </c>
      <c r="T29" s="349">
        <f t="shared" si="5"/>
        <v>1.4351851851851949E-2</v>
      </c>
      <c r="U29" s="350"/>
      <c r="V29" s="351"/>
      <c r="W29" s="176"/>
      <c r="X29" s="352">
        <f t="shared" si="7"/>
        <v>1.4014174681067609E-2</v>
      </c>
      <c r="Y29" s="350"/>
      <c r="Z29" s="353"/>
      <c r="AA29" s="4"/>
    </row>
    <row r="30" spans="1:27" ht="15" customHeight="1">
      <c r="A30" s="43">
        <v>21</v>
      </c>
      <c r="B30" s="141">
        <v>21</v>
      </c>
      <c r="C30" s="142">
        <f t="shared" si="0"/>
        <v>55</v>
      </c>
      <c r="D30" s="381" t="str">
        <f t="shared" si="1"/>
        <v>Chris Petrie</v>
      </c>
      <c r="E30" s="381"/>
      <c r="F30" s="381"/>
      <c r="G30" s="381"/>
      <c r="H30" s="381"/>
      <c r="I30" s="381"/>
      <c r="J30" s="381"/>
      <c r="K30" s="381" t="str">
        <f t="shared" si="2"/>
        <v>Aberdeen Wheelers Cycling Club</v>
      </c>
      <c r="L30" s="381"/>
      <c r="M30" s="381"/>
      <c r="N30" s="381"/>
      <c r="O30" s="381"/>
      <c r="P30" s="381"/>
      <c r="Q30" s="381"/>
      <c r="R30" s="143" t="str">
        <f t="shared" si="3"/>
        <v>V</v>
      </c>
      <c r="S30" s="142" t="str">
        <f t="shared" si="4"/>
        <v>1713042</v>
      </c>
      <c r="T30" s="349">
        <f t="shared" si="5"/>
        <v>1.4189814814814961E-2</v>
      </c>
      <c r="U30" s="350"/>
      <c r="V30" s="351"/>
      <c r="W30" s="176"/>
      <c r="X30" s="352">
        <f t="shared" si="7"/>
        <v>1.4075719901388296E-2</v>
      </c>
      <c r="Y30" s="350"/>
      <c r="Z30" s="353"/>
      <c r="AA30" s="4"/>
    </row>
    <row r="31" spans="1:27" ht="15" customHeight="1">
      <c r="A31" s="43">
        <v>22</v>
      </c>
      <c r="B31" s="141">
        <v>22</v>
      </c>
      <c r="C31" s="142">
        <f t="shared" si="0"/>
        <v>50</v>
      </c>
      <c r="D31" s="381" t="str">
        <f t="shared" si="1"/>
        <v>Garry Greenaway</v>
      </c>
      <c r="E31" s="381"/>
      <c r="F31" s="381"/>
      <c r="G31" s="381"/>
      <c r="H31" s="381"/>
      <c r="I31" s="381"/>
      <c r="J31" s="381"/>
      <c r="K31" s="381" t="str">
        <f t="shared" si="2"/>
        <v>Vanelli-Project Go</v>
      </c>
      <c r="L31" s="381"/>
      <c r="M31" s="381"/>
      <c r="N31" s="381"/>
      <c r="O31" s="381"/>
      <c r="P31" s="381"/>
      <c r="Q31" s="381"/>
      <c r="R31" s="143" t="str">
        <f t="shared" si="3"/>
        <v>V</v>
      </c>
      <c r="S31" s="142" t="str">
        <f t="shared" si="4"/>
        <v>1253402</v>
      </c>
      <c r="T31" s="349">
        <f t="shared" si="5"/>
        <v>1.4317129629629777E-2</v>
      </c>
      <c r="U31" s="350"/>
      <c r="V31" s="351"/>
      <c r="W31" s="176"/>
      <c r="X31" s="352">
        <f t="shared" si="7"/>
        <v>1.4090637363599412E-2</v>
      </c>
      <c r="Y31" s="350"/>
      <c r="Z31" s="353"/>
      <c r="AA31" s="4"/>
    </row>
    <row r="32" spans="1:27" ht="15" customHeight="1">
      <c r="A32" s="43">
        <v>23</v>
      </c>
      <c r="B32" s="141">
        <v>23</v>
      </c>
      <c r="C32" s="142">
        <f t="shared" si="0"/>
        <v>27</v>
      </c>
      <c r="D32" s="381" t="str">
        <f t="shared" si="1"/>
        <v>Lorna Breetzke</v>
      </c>
      <c r="E32" s="381"/>
      <c r="F32" s="381"/>
      <c r="G32" s="381"/>
      <c r="H32" s="381"/>
      <c r="I32" s="381"/>
      <c r="J32" s="381"/>
      <c r="K32" s="381" t="str">
        <f t="shared" si="2"/>
        <v>Elgin CC</v>
      </c>
      <c r="L32" s="381"/>
      <c r="M32" s="381"/>
      <c r="N32" s="381"/>
      <c r="O32" s="381"/>
      <c r="P32" s="381"/>
      <c r="Q32" s="381"/>
      <c r="R32" s="143" t="str">
        <f t="shared" si="3"/>
        <v>FV</v>
      </c>
      <c r="S32" s="142" t="str">
        <f t="shared" si="4"/>
        <v>1151288</v>
      </c>
      <c r="T32" s="349">
        <f t="shared" si="5"/>
        <v>1.6041666666666732E-2</v>
      </c>
      <c r="U32" s="350"/>
      <c r="V32" s="351"/>
      <c r="W32" s="176"/>
      <c r="X32" s="352">
        <f t="shared" si="7"/>
        <v>1.4095919336307015E-2</v>
      </c>
      <c r="Y32" s="350"/>
      <c r="Z32" s="353"/>
      <c r="AA32" s="4"/>
    </row>
    <row r="33" spans="1:27" ht="15" customHeight="1">
      <c r="A33" s="43">
        <v>24</v>
      </c>
      <c r="B33" s="141">
        <v>24</v>
      </c>
      <c r="C33" s="142">
        <f t="shared" si="0"/>
        <v>23</v>
      </c>
      <c r="D33" s="381" t="str">
        <f t="shared" si="1"/>
        <v>Millie Thomson</v>
      </c>
      <c r="E33" s="381"/>
      <c r="F33" s="381"/>
      <c r="G33" s="381"/>
      <c r="H33" s="381"/>
      <c r="I33" s="381"/>
      <c r="J33" s="381"/>
      <c r="K33" s="381" t="str">
        <f t="shared" si="2"/>
        <v>Solas Cycling</v>
      </c>
      <c r="L33" s="381"/>
      <c r="M33" s="381"/>
      <c r="N33" s="381"/>
      <c r="O33" s="381"/>
      <c r="P33" s="381"/>
      <c r="Q33" s="381"/>
      <c r="R33" s="143" t="str">
        <f t="shared" si="3"/>
        <v>F</v>
      </c>
      <c r="S33" s="142" t="str">
        <f t="shared" si="4"/>
        <v>1690150</v>
      </c>
      <c r="T33" s="349">
        <f t="shared" si="5"/>
        <v>1.6203703703703776E-2</v>
      </c>
      <c r="U33" s="350"/>
      <c r="V33" s="351"/>
      <c r="W33" s="176"/>
      <c r="X33" s="352">
        <f t="shared" si="7"/>
        <v>1.4117489868440244E-2</v>
      </c>
      <c r="Y33" s="350"/>
      <c r="Z33" s="353"/>
      <c r="AA33" s="4"/>
    </row>
    <row r="34" spans="1:27" ht="15" customHeight="1">
      <c r="A34" s="43">
        <v>25</v>
      </c>
      <c r="B34" s="141">
        <v>25</v>
      </c>
      <c r="C34" s="142">
        <f t="shared" si="0"/>
        <v>5</v>
      </c>
      <c r="D34" s="381" t="str">
        <f t="shared" si="1"/>
        <v>Daniel Sutherland</v>
      </c>
      <c r="E34" s="381"/>
      <c r="F34" s="381"/>
      <c r="G34" s="381"/>
      <c r="H34" s="381"/>
      <c r="I34" s="381"/>
      <c r="J34" s="381"/>
      <c r="K34" s="381" t="str">
        <f t="shared" si="2"/>
        <v>Moray Firth Cycling Club</v>
      </c>
      <c r="L34" s="381"/>
      <c r="M34" s="381"/>
      <c r="N34" s="381"/>
      <c r="O34" s="381"/>
      <c r="P34" s="381"/>
      <c r="Q34" s="381"/>
      <c r="R34" s="143" t="str">
        <f t="shared" si="3"/>
        <v>V</v>
      </c>
      <c r="S34" s="142" t="str">
        <f t="shared" si="4"/>
        <v>1359206</v>
      </c>
      <c r="T34" s="349">
        <f t="shared" si="5"/>
        <v>1.6099537037037037E-2</v>
      </c>
      <c r="U34" s="350"/>
      <c r="V34" s="351"/>
      <c r="W34" s="176"/>
      <c r="X34" s="352">
        <f t="shared" si="7"/>
        <v>1.4123609223496755E-2</v>
      </c>
      <c r="Y34" s="350"/>
      <c r="Z34" s="353"/>
      <c r="AA34" s="4"/>
    </row>
    <row r="35" spans="1:27" ht="15" customHeight="1">
      <c r="A35" s="43">
        <v>26</v>
      </c>
      <c r="B35" s="141">
        <v>26</v>
      </c>
      <c r="C35" s="142">
        <f t="shared" si="0"/>
        <v>38</v>
      </c>
      <c r="D35" s="381" t="str">
        <f t="shared" si="1"/>
        <v>Alison Roger</v>
      </c>
      <c r="E35" s="381"/>
      <c r="F35" s="381"/>
      <c r="G35" s="381"/>
      <c r="H35" s="381"/>
      <c r="I35" s="381"/>
      <c r="J35" s="381"/>
      <c r="K35" s="381" t="str">
        <f t="shared" si="2"/>
        <v>North Argyll Cycle Club</v>
      </c>
      <c r="L35" s="381"/>
      <c r="M35" s="381"/>
      <c r="N35" s="381"/>
      <c r="O35" s="381"/>
      <c r="P35" s="381"/>
      <c r="Q35" s="381"/>
      <c r="R35" s="143" t="str">
        <f t="shared" si="3"/>
        <v>FV</v>
      </c>
      <c r="S35" s="142" t="str">
        <f t="shared" si="4"/>
        <v>1267380</v>
      </c>
      <c r="T35" s="349">
        <f t="shared" si="5"/>
        <v>1.6319444444444553E-2</v>
      </c>
      <c r="U35" s="350"/>
      <c r="V35" s="351"/>
      <c r="W35" s="176"/>
      <c r="X35" s="352">
        <f t="shared" si="7"/>
        <v>1.4133474566061848E-2</v>
      </c>
      <c r="Y35" s="350"/>
      <c r="Z35" s="353"/>
      <c r="AA35" s="4"/>
    </row>
    <row r="36" spans="1:27" ht="15" customHeight="1">
      <c r="A36" s="43">
        <v>27</v>
      </c>
      <c r="B36" s="141">
        <v>27</v>
      </c>
      <c r="C36" s="142">
        <f t="shared" si="0"/>
        <v>35</v>
      </c>
      <c r="D36" s="381" t="str">
        <f t="shared" si="1"/>
        <v>Robin Atkinson</v>
      </c>
      <c r="E36" s="381"/>
      <c r="F36" s="381"/>
      <c r="G36" s="381"/>
      <c r="H36" s="381"/>
      <c r="I36" s="381"/>
      <c r="J36" s="381"/>
      <c r="K36" s="381" t="str">
        <f t="shared" si="2"/>
        <v>Shetland Wheelers</v>
      </c>
      <c r="L36" s="381"/>
      <c r="M36" s="381"/>
      <c r="N36" s="381"/>
      <c r="O36" s="381"/>
      <c r="P36" s="381"/>
      <c r="Q36" s="381"/>
      <c r="R36" s="143" t="str">
        <f t="shared" si="3"/>
        <v>V</v>
      </c>
      <c r="S36" s="142" t="str">
        <f t="shared" si="4"/>
        <v>1053476</v>
      </c>
      <c r="T36" s="349">
        <f t="shared" si="5"/>
        <v>1.4594907407407487E-2</v>
      </c>
      <c r="U36" s="350"/>
      <c r="V36" s="351"/>
      <c r="W36" s="176"/>
      <c r="X36" s="352">
        <f t="shared" si="7"/>
        <v>1.4257230236623147E-2</v>
      </c>
      <c r="Y36" s="350"/>
      <c r="Z36" s="353"/>
      <c r="AA36" s="4"/>
    </row>
    <row r="37" spans="1:27" ht="15" customHeight="1">
      <c r="A37" s="43">
        <v>28</v>
      </c>
      <c r="B37" s="141">
        <v>28</v>
      </c>
      <c r="C37" s="142">
        <f t="shared" si="0"/>
        <v>30</v>
      </c>
      <c r="D37" s="381" t="str">
        <f t="shared" si="1"/>
        <v>Tom Broadbent</v>
      </c>
      <c r="E37" s="381"/>
      <c r="F37" s="381"/>
      <c r="G37" s="381"/>
      <c r="H37" s="381"/>
      <c r="I37" s="381"/>
      <c r="J37" s="381"/>
      <c r="K37" s="381" t="str">
        <f t="shared" si="2"/>
        <v>MGC RT</v>
      </c>
      <c r="L37" s="381"/>
      <c r="M37" s="381"/>
      <c r="N37" s="381"/>
      <c r="O37" s="381"/>
      <c r="P37" s="381"/>
      <c r="Q37" s="381"/>
      <c r="R37" s="143" t="str">
        <f t="shared" si="3"/>
        <v>V</v>
      </c>
      <c r="S37" s="142" t="str">
        <f t="shared" si="4"/>
        <v>1713297</v>
      </c>
      <c r="T37" s="349">
        <f t="shared" si="5"/>
        <v>1.467592592593E-2</v>
      </c>
      <c r="U37" s="350"/>
      <c r="V37" s="351"/>
      <c r="W37" s="176"/>
      <c r="X37" s="352">
        <f t="shared" si="7"/>
        <v>1.4283048323921651E-2</v>
      </c>
      <c r="Y37" s="350"/>
      <c r="Z37" s="353"/>
      <c r="AA37" s="4"/>
    </row>
    <row r="38" spans="1:27" ht="15" customHeight="1">
      <c r="A38" s="43">
        <v>29</v>
      </c>
      <c r="B38" s="141">
        <v>29</v>
      </c>
      <c r="C38" s="142">
        <f t="shared" si="0"/>
        <v>33</v>
      </c>
      <c r="D38" s="381" t="str">
        <f t="shared" si="1"/>
        <v>James Shewan</v>
      </c>
      <c r="E38" s="381"/>
      <c r="F38" s="381"/>
      <c r="G38" s="381"/>
      <c r="H38" s="381"/>
      <c r="I38" s="381"/>
      <c r="J38" s="381"/>
      <c r="K38" s="381" t="str">
        <f t="shared" si="2"/>
        <v>Moray Firth Cycling Club</v>
      </c>
      <c r="L38" s="381"/>
      <c r="M38" s="381"/>
      <c r="N38" s="381"/>
      <c r="O38" s="381"/>
      <c r="P38" s="381"/>
      <c r="Q38" s="381"/>
      <c r="R38" s="143" t="str">
        <f t="shared" si="3"/>
        <v>S</v>
      </c>
      <c r="S38" s="142" t="str">
        <f t="shared" si="4"/>
        <v>955248</v>
      </c>
      <c r="T38" s="349">
        <f t="shared" si="5"/>
        <v>1.6192129629629737E-2</v>
      </c>
      <c r="U38" s="350"/>
      <c r="V38" s="351"/>
      <c r="W38" s="176"/>
      <c r="X38" s="352">
        <f t="shared" si="7"/>
        <v>1.4286692146891516E-2</v>
      </c>
      <c r="Y38" s="350"/>
      <c r="Z38" s="353"/>
      <c r="AA38" s="4"/>
    </row>
    <row r="39" spans="1:27" ht="15" customHeight="1">
      <c r="A39" s="43">
        <v>30</v>
      </c>
      <c r="B39" s="141">
        <v>30</v>
      </c>
      <c r="C39" s="142">
        <f t="shared" si="0"/>
        <v>6</v>
      </c>
      <c r="D39" s="381" t="str">
        <f t="shared" si="1"/>
        <v>julie cleghorn</v>
      </c>
      <c r="E39" s="381"/>
      <c r="F39" s="381"/>
      <c r="G39" s="381"/>
      <c r="H39" s="381"/>
      <c r="I39" s="381"/>
      <c r="J39" s="381"/>
      <c r="K39" s="381" t="str">
        <f t="shared" si="2"/>
        <v>Ross-Shire RCC</v>
      </c>
      <c r="L39" s="381"/>
      <c r="M39" s="381"/>
      <c r="N39" s="381"/>
      <c r="O39" s="381"/>
      <c r="P39" s="381"/>
      <c r="Q39" s="381"/>
      <c r="R39" s="143" t="str">
        <f t="shared" si="3"/>
        <v>FV</v>
      </c>
      <c r="S39" s="142" t="str">
        <f t="shared" si="4"/>
        <v>1711884</v>
      </c>
      <c r="T39" s="349">
        <f t="shared" si="5"/>
        <v>2.0046296296296284E-2</v>
      </c>
      <c r="U39" s="350"/>
      <c r="V39" s="351"/>
      <c r="W39" s="176"/>
      <c r="X39" s="352">
        <f t="shared" si="7"/>
        <v>1.4338958851117276E-2</v>
      </c>
      <c r="Y39" s="350"/>
      <c r="Z39" s="353"/>
      <c r="AA39" s="4"/>
    </row>
    <row r="40" spans="1:27" ht="15" customHeight="1">
      <c r="A40" s="43">
        <v>31</v>
      </c>
      <c r="B40" s="141">
        <v>31</v>
      </c>
      <c r="C40" s="142">
        <f t="shared" si="0"/>
        <v>34</v>
      </c>
      <c r="D40" s="381" t="str">
        <f t="shared" si="1"/>
        <v>Andrew Paterson</v>
      </c>
      <c r="E40" s="381"/>
      <c r="F40" s="381"/>
      <c r="G40" s="381"/>
      <c r="H40" s="381"/>
      <c r="I40" s="381"/>
      <c r="J40" s="381"/>
      <c r="K40" s="381" t="str">
        <f t="shared" si="2"/>
        <v>Elgin CC</v>
      </c>
      <c r="L40" s="381"/>
      <c r="M40" s="381"/>
      <c r="N40" s="381"/>
      <c r="O40" s="381"/>
      <c r="P40" s="381"/>
      <c r="Q40" s="381"/>
      <c r="R40" s="143" t="str">
        <f t="shared" si="3"/>
        <v>JM</v>
      </c>
      <c r="S40" s="142" t="str">
        <f t="shared" si="4"/>
        <v>1807438</v>
      </c>
      <c r="T40" s="349">
        <f t="shared" si="5"/>
        <v>1.72337962962964E-2</v>
      </c>
      <c r="U40" s="350"/>
      <c r="V40" s="351"/>
      <c r="W40" s="176"/>
      <c r="X40" s="352">
        <f t="shared" si="7"/>
        <v>1.4362243715979826E-2</v>
      </c>
      <c r="Y40" s="350"/>
      <c r="Z40" s="353"/>
      <c r="AA40" s="4"/>
    </row>
    <row r="41" spans="1:27" ht="15" customHeight="1">
      <c r="A41" s="43">
        <v>32</v>
      </c>
      <c r="B41" s="141">
        <v>32</v>
      </c>
      <c r="C41" s="142">
        <f t="shared" si="0"/>
        <v>7</v>
      </c>
      <c r="D41" s="381" t="str">
        <f t="shared" si="1"/>
        <v>Jonathan Forbes</v>
      </c>
      <c r="E41" s="381"/>
      <c r="F41" s="381"/>
      <c r="G41" s="381"/>
      <c r="H41" s="381"/>
      <c r="I41" s="381"/>
      <c r="J41" s="381"/>
      <c r="K41" s="381" t="str">
        <f t="shared" si="2"/>
        <v>Ross-Shire RCC</v>
      </c>
      <c r="L41" s="381"/>
      <c r="M41" s="381"/>
      <c r="N41" s="381"/>
      <c r="O41" s="381"/>
      <c r="P41" s="381"/>
      <c r="Q41" s="381"/>
      <c r="R41" s="143" t="str">
        <f t="shared" si="3"/>
        <v>S</v>
      </c>
      <c r="S41" s="142" t="str">
        <f t="shared" si="4"/>
        <v>1834071</v>
      </c>
      <c r="T41" s="349">
        <f t="shared" si="5"/>
        <v>1.6435185185185219E-2</v>
      </c>
      <c r="U41" s="350"/>
      <c r="V41" s="351"/>
      <c r="W41" s="176"/>
      <c r="X41" s="352">
        <f t="shared" si="7"/>
        <v>1.4439161604282293E-2</v>
      </c>
      <c r="Y41" s="350"/>
      <c r="Z41" s="353"/>
      <c r="AA41" s="4"/>
    </row>
    <row r="42" spans="1:27" ht="15" customHeight="1">
      <c r="A42" s="43">
        <v>33</v>
      </c>
      <c r="B42" s="141">
        <v>33</v>
      </c>
      <c r="C42" s="142">
        <f t="shared" ref="C42:C73" si="8">IF(IF(ISNA(VLOOKUP(A42,StartListHC,2,FALSE)),"",VLOOKUP(A42,StartListHC,2,FALSE))=0,"",IF(ISNA(VLOOKUP(A42,StartListHC,2,FALSE)),"",VLOOKUP(A42,StartListHC,2,FALSE)))</f>
        <v>8</v>
      </c>
      <c r="D42" s="381" t="str">
        <f t="shared" ref="D42:D73" si="9">IF(IF(ISNA(VLOOKUP(A42,StartListHC,3,FALSE)),"",VLOOKUP(A42,StartListHC,3,FALSE))=0,"",IF(ISNA(VLOOKUP(A42,StartListHC,3,FALSE)),"",VLOOKUP(A42,StartListHC,3,FALSE)))</f>
        <v>Michael Morris</v>
      </c>
      <c r="E42" s="381"/>
      <c r="F42" s="381"/>
      <c r="G42" s="381"/>
      <c r="H42" s="381"/>
      <c r="I42" s="381"/>
      <c r="J42" s="381"/>
      <c r="K42" s="381" t="str">
        <f t="shared" ref="K42:K73" si="10">IF(IF(ISNA(VLOOKUP(A42,StartListHC,4,FALSE)),"",VLOOKUP(A42,StartListHC,4,FALSE))=0,"",IF(ISNA(VLOOKUP(A42,StartListHC,4,FALSE)),"",VLOOKUP(A42,StartListHC,4,FALSE)))</f>
        <v>Cairngorm CC</v>
      </c>
      <c r="L42" s="381"/>
      <c r="M42" s="381"/>
      <c r="N42" s="381"/>
      <c r="O42" s="381"/>
      <c r="P42" s="381"/>
      <c r="Q42" s="381"/>
      <c r="R42" s="143" t="str">
        <f t="shared" ref="R42:R73" si="11">IF(IF(ISNA(VLOOKUP(A42,StartListHC,6,FALSE)),"",VLOOKUP(A42,StartListHC,6,FALSE))=0,"",IF(ISNA(VLOOKUP(A42,StartListHC,6,FALSE)),"",VLOOKUP(A42,StartListHC,6,FALSE)))</f>
        <v>V</v>
      </c>
      <c r="S42" s="142" t="str">
        <f t="shared" ref="S42:S73" si="12">IF(IF(ISNA(VLOOKUP(A42,StartList,6,FALSE)),"",VLOOKUP(A42,StartList,6,FALSE))=0,"",IF(ISNA(VLOOKUP(A42,StartList,6,FALSE)),"",VLOOKUP(A42,StartList,6,FALSE)))</f>
        <v>1729605</v>
      </c>
      <c r="T42" s="349">
        <f t="shared" ref="T42:T73" si="13">IF(IF(ISNA(VLOOKUP(A42,StartListHC,9,FALSE)),"",VLOOKUP(A42,StartListHC,9,FALSE))=0,"",IF(ISNA(VLOOKUP(A42,StartListHC,9,FALSE)),"",VLOOKUP(A42,StartListHC,9,FALSE)))</f>
        <v>1.7048611111111112E-2</v>
      </c>
      <c r="U42" s="350"/>
      <c r="V42" s="351"/>
      <c r="W42" s="176"/>
      <c r="X42" s="352">
        <f t="shared" si="7"/>
        <v>1.4487784016750965E-2</v>
      </c>
      <c r="Y42" s="350"/>
      <c r="Z42" s="353"/>
      <c r="AA42" s="4"/>
    </row>
    <row r="43" spans="1:27" ht="15" customHeight="1">
      <c r="A43" s="43">
        <v>34</v>
      </c>
      <c r="B43" s="141">
        <v>34</v>
      </c>
      <c r="C43" s="142">
        <f t="shared" si="8"/>
        <v>61</v>
      </c>
      <c r="D43" s="381" t="str">
        <f t="shared" si="9"/>
        <v>Darren Wisniewski</v>
      </c>
      <c r="E43" s="381"/>
      <c r="F43" s="381"/>
      <c r="G43" s="381"/>
      <c r="H43" s="381"/>
      <c r="I43" s="381"/>
      <c r="J43" s="381"/>
      <c r="K43" s="381" t="str">
        <f t="shared" si="10"/>
        <v/>
      </c>
      <c r="L43" s="381"/>
      <c r="M43" s="381"/>
      <c r="N43" s="381"/>
      <c r="O43" s="381"/>
      <c r="P43" s="381"/>
      <c r="Q43" s="381"/>
      <c r="R43" s="143" t="str">
        <f t="shared" si="11"/>
        <v>S</v>
      </c>
      <c r="S43" s="142" t="str">
        <f t="shared" si="12"/>
        <v>1716241</v>
      </c>
      <c r="T43" s="349">
        <f t="shared" si="13"/>
        <v>1.7488425925926088E-2</v>
      </c>
      <c r="U43" s="350"/>
      <c r="V43" s="351"/>
      <c r="W43" s="176"/>
      <c r="X43" s="352">
        <f t="shared" si="7"/>
        <v>1.4491876943865088E-2</v>
      </c>
      <c r="Y43" s="350"/>
      <c r="Z43" s="353"/>
      <c r="AA43" s="4"/>
    </row>
    <row r="44" spans="1:27" ht="15" customHeight="1">
      <c r="A44" s="43">
        <v>35</v>
      </c>
      <c r="B44" s="141">
        <v>35</v>
      </c>
      <c r="C44" s="142">
        <f t="shared" si="8"/>
        <v>13</v>
      </c>
      <c r="D44" s="381" t="str">
        <f t="shared" si="9"/>
        <v>Gillies Grant</v>
      </c>
      <c r="E44" s="381"/>
      <c r="F44" s="381"/>
      <c r="G44" s="381"/>
      <c r="H44" s="381"/>
      <c r="I44" s="381"/>
      <c r="J44" s="381"/>
      <c r="K44" s="381" t="str">
        <f t="shared" si="10"/>
        <v>Forres CC</v>
      </c>
      <c r="L44" s="381"/>
      <c r="M44" s="381"/>
      <c r="N44" s="381"/>
      <c r="O44" s="381"/>
      <c r="P44" s="381"/>
      <c r="Q44" s="381"/>
      <c r="R44" s="143" t="str">
        <f t="shared" si="11"/>
        <v>S</v>
      </c>
      <c r="S44" s="142" t="str">
        <f t="shared" si="12"/>
        <v>1774761</v>
      </c>
      <c r="T44" s="349">
        <f t="shared" si="13"/>
        <v>1.6666666666666718E-2</v>
      </c>
      <c r="U44" s="350"/>
      <c r="V44" s="351"/>
      <c r="W44" s="176"/>
      <c r="X44" s="352">
        <f t="shared" si="7"/>
        <v>1.4500610086286773E-2</v>
      </c>
      <c r="Y44" s="350"/>
      <c r="Z44" s="353"/>
      <c r="AA44" s="4"/>
    </row>
    <row r="45" spans="1:27" ht="15" customHeight="1">
      <c r="A45" s="43">
        <v>36</v>
      </c>
      <c r="B45" s="141">
        <v>36</v>
      </c>
      <c r="C45" s="142">
        <f t="shared" si="8"/>
        <v>47</v>
      </c>
      <c r="D45" s="381" t="str">
        <f t="shared" si="9"/>
        <v>Douglas Macdonald</v>
      </c>
      <c r="E45" s="381"/>
      <c r="F45" s="381"/>
      <c r="G45" s="381"/>
      <c r="H45" s="381"/>
      <c r="I45" s="381"/>
      <c r="J45" s="381"/>
      <c r="K45" s="381" t="str">
        <f t="shared" si="10"/>
        <v>Fullarton Wheelers Cycling Club</v>
      </c>
      <c r="L45" s="381"/>
      <c r="M45" s="381"/>
      <c r="N45" s="381"/>
      <c r="O45" s="381"/>
      <c r="P45" s="381"/>
      <c r="Q45" s="381"/>
      <c r="R45" s="143" t="str">
        <f t="shared" si="11"/>
        <v>V</v>
      </c>
      <c r="S45" s="142" t="str">
        <f t="shared" si="12"/>
        <v>1820763</v>
      </c>
      <c r="T45" s="349">
        <f t="shared" si="13"/>
        <v>1.5972222222222332E-2</v>
      </c>
      <c r="U45" s="350"/>
      <c r="V45" s="351"/>
      <c r="W45" s="176"/>
      <c r="X45" s="352">
        <f t="shared" si="7"/>
        <v>1.4515627668628357E-2</v>
      </c>
      <c r="Y45" s="350"/>
      <c r="Z45" s="353"/>
      <c r="AA45" s="4"/>
    </row>
    <row r="46" spans="1:27" ht="15" customHeight="1">
      <c r="A46" s="43">
        <v>37</v>
      </c>
      <c r="B46" s="141">
        <v>37</v>
      </c>
      <c r="C46" s="142">
        <f t="shared" si="8"/>
        <v>45</v>
      </c>
      <c r="D46" s="381" t="str">
        <f t="shared" si="9"/>
        <v>Colin Johnston</v>
      </c>
      <c r="E46" s="381"/>
      <c r="F46" s="381"/>
      <c r="G46" s="381"/>
      <c r="H46" s="381"/>
      <c r="I46" s="381"/>
      <c r="J46" s="381"/>
      <c r="K46" s="381" t="str">
        <f t="shared" si="10"/>
        <v>Vanelli-Project Go</v>
      </c>
      <c r="L46" s="381"/>
      <c r="M46" s="381"/>
      <c r="N46" s="381"/>
      <c r="O46" s="381"/>
      <c r="P46" s="381"/>
      <c r="Q46" s="381"/>
      <c r="R46" s="143" t="str">
        <f t="shared" si="11"/>
        <v>JM</v>
      </c>
      <c r="S46" s="142" t="str">
        <f t="shared" si="12"/>
        <v>1760731</v>
      </c>
      <c r="T46" s="349">
        <f t="shared" si="13"/>
        <v>1.4814814814814947E-2</v>
      </c>
      <c r="U46" s="350"/>
      <c r="V46" s="351"/>
      <c r="W46" s="176"/>
      <c r="X46" s="352">
        <f t="shared" si="7"/>
        <v>1.4565996314700999E-2</v>
      </c>
      <c r="Y46" s="350"/>
      <c r="Z46" s="353"/>
      <c r="AA46" s="4"/>
    </row>
    <row r="47" spans="1:27" ht="15" customHeight="1">
      <c r="A47" s="43">
        <v>38</v>
      </c>
      <c r="B47" s="141">
        <v>38</v>
      </c>
      <c r="C47" s="142">
        <f t="shared" si="8"/>
        <v>29</v>
      </c>
      <c r="D47" s="381" t="str">
        <f t="shared" si="9"/>
        <v>Christine Brumhead</v>
      </c>
      <c r="E47" s="381"/>
      <c r="F47" s="381"/>
      <c r="G47" s="381"/>
      <c r="H47" s="381"/>
      <c r="I47" s="381"/>
      <c r="J47" s="381"/>
      <c r="K47" s="381" t="str">
        <f t="shared" si="10"/>
        <v>Inverness Cycle Club</v>
      </c>
      <c r="L47" s="381"/>
      <c r="M47" s="381"/>
      <c r="N47" s="381"/>
      <c r="O47" s="381"/>
      <c r="P47" s="381"/>
      <c r="Q47" s="381"/>
      <c r="R47" s="143" t="str">
        <f t="shared" si="11"/>
        <v>FV</v>
      </c>
      <c r="S47" s="142" t="str">
        <f t="shared" si="12"/>
        <v>1726711</v>
      </c>
      <c r="T47" s="349">
        <f t="shared" si="13"/>
        <v>2.1377314814809999E-2</v>
      </c>
      <c r="U47" s="350"/>
      <c r="V47" s="351"/>
      <c r="W47" s="176"/>
      <c r="X47" s="352">
        <f t="shared" si="7"/>
        <v>1.4610549025697386E-2</v>
      </c>
      <c r="Y47" s="350"/>
      <c r="Z47" s="353"/>
      <c r="AA47" s="4"/>
    </row>
    <row r="48" spans="1:27" ht="15" customHeight="1">
      <c r="A48" s="43">
        <v>39</v>
      </c>
      <c r="B48" s="141">
        <v>39</v>
      </c>
      <c r="C48" s="142">
        <f t="shared" si="8"/>
        <v>68</v>
      </c>
      <c r="D48" s="381" t="str">
        <f t="shared" si="9"/>
        <v>Mark Dryburgh</v>
      </c>
      <c r="E48" s="381"/>
      <c r="F48" s="381"/>
      <c r="G48" s="381"/>
      <c r="H48" s="381"/>
      <c r="I48" s="381"/>
      <c r="J48" s="381"/>
      <c r="K48" s="381" t="str">
        <f t="shared" si="10"/>
        <v>Ross-Shire RCC</v>
      </c>
      <c r="L48" s="381"/>
      <c r="M48" s="381"/>
      <c r="N48" s="381"/>
      <c r="O48" s="381"/>
      <c r="P48" s="381"/>
      <c r="Q48" s="381"/>
      <c r="R48" s="143" t="str">
        <f t="shared" si="11"/>
        <v>V</v>
      </c>
      <c r="S48" s="142" t="str">
        <f t="shared" si="12"/>
        <v>1863190</v>
      </c>
      <c r="T48" s="349">
        <f t="shared" si="13"/>
        <v>1.5370370370370534E-2</v>
      </c>
      <c r="U48" s="350"/>
      <c r="V48" s="351"/>
      <c r="W48" s="176"/>
      <c r="X48" s="352">
        <f t="shared" si="7"/>
        <v>1.4618684074681325E-2</v>
      </c>
      <c r="Y48" s="350"/>
      <c r="Z48" s="353"/>
      <c r="AA48" s="4"/>
    </row>
    <row r="49" spans="1:27" ht="15" customHeight="1">
      <c r="A49" s="43">
        <v>40</v>
      </c>
      <c r="B49" s="141">
        <v>40</v>
      </c>
      <c r="C49" s="142">
        <f t="shared" si="8"/>
        <v>51</v>
      </c>
      <c r="D49" s="381" t="str">
        <f t="shared" si="9"/>
        <v>Paul Parrish</v>
      </c>
      <c r="E49" s="381"/>
      <c r="F49" s="381"/>
      <c r="G49" s="381"/>
      <c r="H49" s="381"/>
      <c r="I49" s="381"/>
      <c r="J49" s="381"/>
      <c r="K49" s="381" t="str">
        <f t="shared" si="10"/>
        <v>Cairngorm CC</v>
      </c>
      <c r="L49" s="381"/>
      <c r="M49" s="381"/>
      <c r="N49" s="381"/>
      <c r="O49" s="381"/>
      <c r="P49" s="381"/>
      <c r="Q49" s="381"/>
      <c r="R49" s="143" t="str">
        <f t="shared" si="11"/>
        <v>V</v>
      </c>
      <c r="S49" s="142" t="str">
        <f t="shared" si="12"/>
        <v>966611</v>
      </c>
      <c r="T49" s="349">
        <f t="shared" si="13"/>
        <v>1.7569444444444582E-2</v>
      </c>
      <c r="U49" s="350"/>
      <c r="V49" s="351"/>
      <c r="W49" s="176"/>
      <c r="X49" s="352">
        <f t="shared" si="7"/>
        <v>1.4620888136926696E-2</v>
      </c>
      <c r="Y49" s="350"/>
      <c r="Z49" s="353"/>
      <c r="AA49" s="4"/>
    </row>
    <row r="50" spans="1:27" ht="15" customHeight="1">
      <c r="A50" s="43">
        <v>41</v>
      </c>
      <c r="B50" s="141">
        <v>41</v>
      </c>
      <c r="C50" s="142">
        <f t="shared" si="8"/>
        <v>54</v>
      </c>
      <c r="D50" s="381" t="str">
        <f t="shared" si="9"/>
        <v>Callum Deboys</v>
      </c>
      <c r="E50" s="381"/>
      <c r="F50" s="381"/>
      <c r="G50" s="381"/>
      <c r="H50" s="381"/>
      <c r="I50" s="381"/>
      <c r="J50" s="381"/>
      <c r="K50" s="381" t="str">
        <f t="shared" si="10"/>
        <v>GTR - Return To Life</v>
      </c>
      <c r="L50" s="381"/>
      <c r="M50" s="381"/>
      <c r="N50" s="381"/>
      <c r="O50" s="381"/>
      <c r="P50" s="381"/>
      <c r="Q50" s="381"/>
      <c r="R50" s="143" t="str">
        <f t="shared" si="11"/>
        <v>S</v>
      </c>
      <c r="S50" s="142" t="str">
        <f t="shared" si="12"/>
        <v>460001</v>
      </c>
      <c r="T50" s="349">
        <f t="shared" si="13"/>
        <v>1.7187500000000133E-2</v>
      </c>
      <c r="U50" s="350"/>
      <c r="V50" s="351"/>
      <c r="W50" s="176"/>
      <c r="X50" s="352">
        <f t="shared" si="7"/>
        <v>1.4685428227726019E-2</v>
      </c>
      <c r="Y50" s="350"/>
      <c r="Z50" s="353"/>
      <c r="AA50" s="4"/>
    </row>
    <row r="51" spans="1:27" ht="15" customHeight="1">
      <c r="A51" s="43">
        <v>42</v>
      </c>
      <c r="B51" s="141">
        <v>42</v>
      </c>
      <c r="C51" s="142">
        <f t="shared" si="8"/>
        <v>72</v>
      </c>
      <c r="D51" s="381" t="str">
        <f t="shared" si="9"/>
        <v>Dean Cunningham</v>
      </c>
      <c r="E51" s="381"/>
      <c r="F51" s="381"/>
      <c r="G51" s="381"/>
      <c r="H51" s="381"/>
      <c r="I51" s="381"/>
      <c r="J51" s="381"/>
      <c r="K51" s="381" t="str">
        <f t="shared" si="10"/>
        <v>Torvelo Racing</v>
      </c>
      <c r="L51" s="381"/>
      <c r="M51" s="381"/>
      <c r="N51" s="381"/>
      <c r="O51" s="381"/>
      <c r="P51" s="381"/>
      <c r="Q51" s="381"/>
      <c r="R51" s="143" t="str">
        <f t="shared" si="11"/>
        <v>S</v>
      </c>
      <c r="S51" s="142" t="str">
        <f t="shared" si="12"/>
        <v>1009647</v>
      </c>
      <c r="T51" s="349">
        <f t="shared" si="13"/>
        <v>1.5509259259259445E-2</v>
      </c>
      <c r="U51" s="350"/>
      <c r="V51" s="351"/>
      <c r="W51" s="176"/>
      <c r="X51" s="352">
        <f t="shared" si="7"/>
        <v>1.4714662058625065E-2</v>
      </c>
      <c r="Y51" s="350"/>
      <c r="Z51" s="353"/>
      <c r="AA51" s="4"/>
    </row>
    <row r="52" spans="1:27" ht="15" customHeight="1">
      <c r="A52" s="43">
        <v>43</v>
      </c>
      <c r="B52" s="141">
        <v>43</v>
      </c>
      <c r="C52" s="142">
        <f t="shared" si="8"/>
        <v>9</v>
      </c>
      <c r="D52" s="381" t="str">
        <f t="shared" si="9"/>
        <v>Fiona Barrett</v>
      </c>
      <c r="E52" s="381"/>
      <c r="F52" s="381"/>
      <c r="G52" s="381"/>
      <c r="H52" s="381"/>
      <c r="I52" s="381"/>
      <c r="J52" s="381"/>
      <c r="K52" s="381" t="str">
        <f t="shared" si="10"/>
        <v>Inverness Cycle Club</v>
      </c>
      <c r="L52" s="381"/>
      <c r="M52" s="381"/>
      <c r="N52" s="381"/>
      <c r="O52" s="381"/>
      <c r="P52" s="381"/>
      <c r="Q52" s="381"/>
      <c r="R52" s="143" t="str">
        <f t="shared" si="11"/>
        <v>FV</v>
      </c>
      <c r="S52" s="142" t="str">
        <f t="shared" si="12"/>
        <v>442330</v>
      </c>
      <c r="T52" s="349">
        <f t="shared" si="13"/>
        <v>2.2048611111111116E-2</v>
      </c>
      <c r="U52" s="350"/>
      <c r="V52" s="351"/>
      <c r="W52" s="176"/>
      <c r="X52" s="352">
        <f t="shared" si="7"/>
        <v>1.4773646512166349E-2</v>
      </c>
      <c r="Y52" s="350"/>
      <c r="Z52" s="353"/>
      <c r="AA52" s="4"/>
    </row>
    <row r="53" spans="1:27" ht="15" customHeight="1">
      <c r="A53" s="43">
        <v>44</v>
      </c>
      <c r="B53" s="141">
        <v>44</v>
      </c>
      <c r="C53" s="142">
        <f t="shared" si="8"/>
        <v>63</v>
      </c>
      <c r="D53" s="381" t="str">
        <f t="shared" si="9"/>
        <v>Alan McCaffrey</v>
      </c>
      <c r="E53" s="381"/>
      <c r="F53" s="381"/>
      <c r="G53" s="381"/>
      <c r="H53" s="381"/>
      <c r="I53" s="381"/>
      <c r="J53" s="381"/>
      <c r="K53" s="381" t="str">
        <f t="shared" si="10"/>
        <v>Moray Firth Cycling Club</v>
      </c>
      <c r="L53" s="381"/>
      <c r="M53" s="381"/>
      <c r="N53" s="381"/>
      <c r="O53" s="381"/>
      <c r="P53" s="381"/>
      <c r="Q53" s="381"/>
      <c r="R53" s="143" t="str">
        <f t="shared" si="11"/>
        <v>V</v>
      </c>
      <c r="S53" s="142" t="str">
        <f t="shared" si="12"/>
        <v>1553215</v>
      </c>
      <c r="T53" s="349">
        <f t="shared" si="13"/>
        <v>1.5752314814814983E-2</v>
      </c>
      <c r="U53" s="350"/>
      <c r="V53" s="351"/>
      <c r="W53" s="176"/>
      <c r="X53" s="352">
        <f t="shared" si="7"/>
        <v>1.4797804621501938E-2</v>
      </c>
      <c r="Y53" s="350"/>
      <c r="Z53" s="353"/>
      <c r="AA53" s="4"/>
    </row>
    <row r="54" spans="1:27" ht="15" customHeight="1">
      <c r="A54" s="43">
        <v>45</v>
      </c>
      <c r="B54" s="141">
        <v>45</v>
      </c>
      <c r="C54" s="142">
        <f t="shared" si="8"/>
        <v>18</v>
      </c>
      <c r="D54" s="381" t="str">
        <f t="shared" si="9"/>
        <v>Ian Grant</v>
      </c>
      <c r="E54" s="381"/>
      <c r="F54" s="381"/>
      <c r="G54" s="381"/>
      <c r="H54" s="381"/>
      <c r="I54" s="381"/>
      <c r="J54" s="381"/>
      <c r="K54" s="381" t="str">
        <f t="shared" si="10"/>
        <v>Deeside Thistle CC</v>
      </c>
      <c r="L54" s="381"/>
      <c r="M54" s="381"/>
      <c r="N54" s="381"/>
      <c r="O54" s="381"/>
      <c r="P54" s="381"/>
      <c r="Q54" s="381"/>
      <c r="R54" s="143" t="str">
        <f t="shared" si="11"/>
        <v>V</v>
      </c>
      <c r="S54" s="142" t="str">
        <f t="shared" si="12"/>
        <v>1736632</v>
      </c>
      <c r="T54" s="349">
        <f t="shared" si="13"/>
        <v>1.759259259259266E-2</v>
      </c>
      <c r="U54" s="350"/>
      <c r="V54" s="351"/>
      <c r="W54" s="176"/>
      <c r="X54" s="352">
        <f t="shared" si="7"/>
        <v>1.4856442897895009E-2</v>
      </c>
      <c r="Y54" s="350"/>
      <c r="Z54" s="353"/>
      <c r="AA54" s="4"/>
    </row>
    <row r="55" spans="1:27" ht="15" customHeight="1">
      <c r="A55" s="43">
        <v>46</v>
      </c>
      <c r="B55" s="141">
        <v>46</v>
      </c>
      <c r="C55" s="142">
        <f t="shared" si="8"/>
        <v>28</v>
      </c>
      <c r="D55" s="381" t="str">
        <f t="shared" si="9"/>
        <v>Phil Cameron</v>
      </c>
      <c r="E55" s="381"/>
      <c r="F55" s="381"/>
      <c r="G55" s="381"/>
      <c r="H55" s="381"/>
      <c r="I55" s="381"/>
      <c r="J55" s="381"/>
      <c r="K55" s="381" t="str">
        <f t="shared" si="10"/>
        <v>Elgin CC</v>
      </c>
      <c r="L55" s="381"/>
      <c r="M55" s="381"/>
      <c r="N55" s="381"/>
      <c r="O55" s="381"/>
      <c r="P55" s="381"/>
      <c r="Q55" s="381"/>
      <c r="R55" s="143" t="str">
        <f t="shared" si="11"/>
        <v>V</v>
      </c>
      <c r="S55" s="142" t="str">
        <f t="shared" si="12"/>
        <v>1090352</v>
      </c>
      <c r="T55" s="349">
        <f t="shared" si="13"/>
        <v>1.7939814814809999E-2</v>
      </c>
      <c r="U55" s="350"/>
      <c r="V55" s="351"/>
      <c r="W55" s="176"/>
      <c r="X55" s="352">
        <f t="shared" si="7"/>
        <v>1.4895375875207431E-2</v>
      </c>
      <c r="Y55" s="350"/>
      <c r="Z55" s="353"/>
      <c r="AA55" s="4"/>
    </row>
    <row r="56" spans="1:27" ht="15" customHeight="1">
      <c r="A56" s="43">
        <v>47</v>
      </c>
      <c r="B56" s="141">
        <v>47</v>
      </c>
      <c r="C56" s="142">
        <f t="shared" si="8"/>
        <v>56</v>
      </c>
      <c r="D56" s="381" t="str">
        <f t="shared" si="9"/>
        <v>Alasdair Washington</v>
      </c>
      <c r="E56" s="381"/>
      <c r="F56" s="381"/>
      <c r="G56" s="381"/>
      <c r="H56" s="381"/>
      <c r="I56" s="381"/>
      <c r="J56" s="381"/>
      <c r="K56" s="381" t="str">
        <f t="shared" si="10"/>
        <v>Caithness CC</v>
      </c>
      <c r="L56" s="381"/>
      <c r="M56" s="381"/>
      <c r="N56" s="381"/>
      <c r="O56" s="381"/>
      <c r="P56" s="381"/>
      <c r="Q56" s="381"/>
      <c r="R56" s="143" t="str">
        <f t="shared" si="11"/>
        <v>V</v>
      </c>
      <c r="S56" s="142" t="str">
        <f t="shared" si="12"/>
        <v>1062018</v>
      </c>
      <c r="T56" s="349">
        <f t="shared" si="13"/>
        <v>1.9872685185185313E-2</v>
      </c>
      <c r="U56" s="350"/>
      <c r="V56" s="351"/>
      <c r="W56" s="176"/>
      <c r="X56" s="352">
        <f t="shared" si="7"/>
        <v>1.5158770623279128E-2</v>
      </c>
      <c r="Y56" s="350"/>
      <c r="Z56" s="353"/>
      <c r="AA56" s="4"/>
    </row>
    <row r="57" spans="1:27" ht="15" customHeight="1">
      <c r="A57" s="43">
        <v>48</v>
      </c>
      <c r="B57" s="141">
        <v>48</v>
      </c>
      <c r="C57" s="142">
        <f t="shared" si="8"/>
        <v>26</v>
      </c>
      <c r="D57" s="381" t="str">
        <f t="shared" si="9"/>
        <v>Innis Mitchell</v>
      </c>
      <c r="E57" s="381"/>
      <c r="F57" s="381"/>
      <c r="G57" s="381"/>
      <c r="H57" s="381"/>
      <c r="I57" s="381"/>
      <c r="J57" s="381"/>
      <c r="K57" s="381" t="str">
        <f t="shared" si="10"/>
        <v>Ross-Shire RCC</v>
      </c>
      <c r="L57" s="381"/>
      <c r="M57" s="381"/>
      <c r="N57" s="381"/>
      <c r="O57" s="381"/>
      <c r="P57" s="381"/>
      <c r="Q57" s="381"/>
      <c r="R57" s="143" t="str">
        <f t="shared" si="11"/>
        <v>V</v>
      </c>
      <c r="S57" s="142" t="str">
        <f t="shared" si="12"/>
        <v>838764</v>
      </c>
      <c r="T57" s="349">
        <f t="shared" si="13"/>
        <v>1.8738425925926006E-2</v>
      </c>
      <c r="U57" s="350"/>
      <c r="V57" s="351"/>
      <c r="W57" s="176"/>
      <c r="X57" s="352">
        <f t="shared" si="7"/>
        <v>1.531448442855262E-2</v>
      </c>
      <c r="Y57" s="350"/>
      <c r="Z57" s="353"/>
      <c r="AA57" s="4"/>
    </row>
    <row r="58" spans="1:27" ht="15" customHeight="1">
      <c r="A58" s="43">
        <v>49</v>
      </c>
      <c r="B58" s="141">
        <v>49</v>
      </c>
      <c r="C58" s="142">
        <f t="shared" si="8"/>
        <v>43</v>
      </c>
      <c r="D58" s="381" t="str">
        <f t="shared" si="9"/>
        <v>Isla Easto</v>
      </c>
      <c r="E58" s="381"/>
      <c r="F58" s="381"/>
      <c r="G58" s="381"/>
      <c r="H58" s="381"/>
      <c r="I58" s="381"/>
      <c r="J58" s="381"/>
      <c r="K58" s="381" t="str">
        <f t="shared" si="10"/>
        <v>Solas Cycling</v>
      </c>
      <c r="L58" s="381"/>
      <c r="M58" s="381"/>
      <c r="N58" s="381"/>
      <c r="O58" s="381"/>
      <c r="P58" s="381"/>
      <c r="Q58" s="381"/>
      <c r="R58" s="143" t="str">
        <f t="shared" si="11"/>
        <v>F</v>
      </c>
      <c r="S58" s="142" t="str">
        <f t="shared" si="12"/>
        <v>920951</v>
      </c>
      <c r="T58" s="349">
        <f t="shared" si="13"/>
        <v>1.7060185185185317E-2</v>
      </c>
      <c r="U58" s="350"/>
      <c r="V58" s="351"/>
      <c r="W58" s="176"/>
      <c r="X58" s="352">
        <f t="shared" si="7"/>
        <v>1.5418738825505865E-2</v>
      </c>
      <c r="Y58" s="350"/>
      <c r="Z58" s="353"/>
      <c r="AA58" s="4"/>
    </row>
    <row r="59" spans="1:27" ht="15" customHeight="1">
      <c r="A59" s="43">
        <v>50</v>
      </c>
      <c r="B59" s="141">
        <v>50</v>
      </c>
      <c r="C59" s="142">
        <f t="shared" si="8"/>
        <v>49</v>
      </c>
      <c r="D59" s="381" t="str">
        <f t="shared" si="9"/>
        <v>Hector Nicolson</v>
      </c>
      <c r="E59" s="381"/>
      <c r="F59" s="381"/>
      <c r="G59" s="381"/>
      <c r="H59" s="381"/>
      <c r="I59" s="381"/>
      <c r="J59" s="381"/>
      <c r="K59" s="381" t="str">
        <f t="shared" si="10"/>
        <v>Moray Firth Cycling Club</v>
      </c>
      <c r="L59" s="381"/>
      <c r="M59" s="381"/>
      <c r="N59" s="381"/>
      <c r="O59" s="381"/>
      <c r="P59" s="381"/>
      <c r="Q59" s="381"/>
      <c r="R59" s="143" t="str">
        <f t="shared" si="11"/>
        <v>V</v>
      </c>
      <c r="S59" s="142" t="str">
        <f t="shared" si="12"/>
        <v>202161</v>
      </c>
      <c r="T59" s="349">
        <f t="shared" si="13"/>
        <v>2.0289351851851989E-2</v>
      </c>
      <c r="U59" s="350"/>
      <c r="V59" s="351"/>
      <c r="W59" s="176"/>
      <c r="X59" s="352">
        <f t="shared" si="7"/>
        <v>1.571828093350516E-2</v>
      </c>
      <c r="Y59" s="350"/>
      <c r="Z59" s="353"/>
      <c r="AA59" s="4"/>
    </row>
    <row r="60" spans="1:27" ht="15" customHeight="1">
      <c r="A60" s="43">
        <v>51</v>
      </c>
      <c r="B60" s="141">
        <v>51</v>
      </c>
      <c r="C60" s="142">
        <f t="shared" si="8"/>
        <v>20</v>
      </c>
      <c r="D60" s="381" t="str">
        <f t="shared" si="9"/>
        <v>Jeremy Hubbard</v>
      </c>
      <c r="E60" s="381"/>
      <c r="F60" s="381"/>
      <c r="G60" s="381"/>
      <c r="H60" s="381"/>
      <c r="I60" s="381"/>
      <c r="J60" s="381"/>
      <c r="K60" s="381" t="str">
        <f t="shared" si="10"/>
        <v>Cairngorm CC</v>
      </c>
      <c r="L60" s="381"/>
      <c r="M60" s="381"/>
      <c r="N60" s="381"/>
      <c r="O60" s="381"/>
      <c r="P60" s="381"/>
      <c r="Q60" s="381"/>
      <c r="R60" s="143" t="str">
        <f t="shared" si="11"/>
        <v>S</v>
      </c>
      <c r="S60" s="142" t="str">
        <f t="shared" si="12"/>
        <v/>
      </c>
      <c r="T60" s="349">
        <f t="shared" si="13"/>
        <v>1.6458333333333408E-2</v>
      </c>
      <c r="U60" s="350"/>
      <c r="V60" s="351"/>
      <c r="W60" s="176"/>
      <c r="X60" s="352">
        <f t="shared" si="7"/>
        <v>1.5923025223591618E-2</v>
      </c>
      <c r="Y60" s="350"/>
      <c r="Z60" s="353"/>
      <c r="AA60" s="4"/>
    </row>
    <row r="61" spans="1:27" ht="15" customHeight="1">
      <c r="A61" s="43">
        <v>52</v>
      </c>
      <c r="B61" s="141">
        <v>52</v>
      </c>
      <c r="C61" s="142">
        <f t="shared" si="8"/>
        <v>39</v>
      </c>
      <c r="D61" s="381" t="str">
        <f t="shared" si="9"/>
        <v>George Grant</v>
      </c>
      <c r="E61" s="381"/>
      <c r="F61" s="381"/>
      <c r="G61" s="381"/>
      <c r="H61" s="381"/>
      <c r="I61" s="381"/>
      <c r="J61" s="381"/>
      <c r="K61" s="381" t="str">
        <f t="shared" si="10"/>
        <v>Forres CC</v>
      </c>
      <c r="L61" s="381"/>
      <c r="M61" s="381"/>
      <c r="N61" s="381"/>
      <c r="O61" s="381"/>
      <c r="P61" s="381"/>
      <c r="Q61" s="381"/>
      <c r="R61" s="143" t="str">
        <f t="shared" si="11"/>
        <v>S</v>
      </c>
      <c r="S61" s="142" t="str">
        <f t="shared" si="12"/>
        <v>703907</v>
      </c>
      <c r="T61" s="349">
        <f t="shared" si="13"/>
        <v>2.1863425925925994E-2</v>
      </c>
      <c r="U61" s="350"/>
      <c r="V61" s="351"/>
      <c r="W61" s="176"/>
      <c r="X61" s="352">
        <f t="shared" si="7"/>
        <v>1.6327371433689369E-2</v>
      </c>
      <c r="Y61" s="350"/>
      <c r="Z61" s="353"/>
      <c r="AA61" s="4"/>
    </row>
    <row r="62" spans="1:27" ht="15" customHeight="1">
      <c r="A62" s="43">
        <v>53</v>
      </c>
      <c r="B62" s="141">
        <v>53</v>
      </c>
      <c r="C62" s="142" t="str">
        <f t="shared" si="8"/>
        <v/>
      </c>
      <c r="D62" s="381" t="str">
        <f t="shared" si="9"/>
        <v/>
      </c>
      <c r="E62" s="381"/>
      <c r="F62" s="381"/>
      <c r="G62" s="381"/>
      <c r="H62" s="381"/>
      <c r="I62" s="381"/>
      <c r="J62" s="381"/>
      <c r="K62" s="381" t="str">
        <f t="shared" si="10"/>
        <v/>
      </c>
      <c r="L62" s="381"/>
      <c r="M62" s="381"/>
      <c r="N62" s="381"/>
      <c r="O62" s="381"/>
      <c r="P62" s="381"/>
      <c r="Q62" s="381"/>
      <c r="R62" s="143" t="str">
        <f t="shared" si="11"/>
        <v/>
      </c>
      <c r="S62" s="142" t="str">
        <f t="shared" si="12"/>
        <v>1821975</v>
      </c>
      <c r="T62" s="349" t="str">
        <f t="shared" si="13"/>
        <v/>
      </c>
      <c r="U62" s="350"/>
      <c r="V62" s="351"/>
      <c r="W62" s="176"/>
      <c r="X62" s="352" t="str">
        <f t="shared" si="7"/>
        <v/>
      </c>
      <c r="Y62" s="350"/>
      <c r="Z62" s="353"/>
      <c r="AA62" s="4"/>
    </row>
    <row r="63" spans="1:27" ht="15" customHeight="1">
      <c r="A63" s="43">
        <v>54</v>
      </c>
      <c r="B63" s="141">
        <v>54</v>
      </c>
      <c r="C63" s="142" t="str">
        <f t="shared" si="8"/>
        <v/>
      </c>
      <c r="D63" s="381" t="str">
        <f t="shared" si="9"/>
        <v/>
      </c>
      <c r="E63" s="381"/>
      <c r="F63" s="381"/>
      <c r="G63" s="381"/>
      <c r="H63" s="381"/>
      <c r="I63" s="381"/>
      <c r="J63" s="381"/>
      <c r="K63" s="381" t="str">
        <f t="shared" si="10"/>
        <v/>
      </c>
      <c r="L63" s="381"/>
      <c r="M63" s="381"/>
      <c r="N63" s="381"/>
      <c r="O63" s="381"/>
      <c r="P63" s="381"/>
      <c r="Q63" s="381"/>
      <c r="R63" s="143" t="str">
        <f t="shared" si="11"/>
        <v/>
      </c>
      <c r="S63" s="142" t="str">
        <f t="shared" si="12"/>
        <v>1760730</v>
      </c>
      <c r="T63" s="349" t="str">
        <f t="shared" si="13"/>
        <v/>
      </c>
      <c r="U63" s="350"/>
      <c r="V63" s="351"/>
      <c r="W63" s="176"/>
      <c r="X63" s="352" t="str">
        <f t="shared" si="7"/>
        <v/>
      </c>
      <c r="Y63" s="350"/>
      <c r="Z63" s="353"/>
      <c r="AA63" s="4"/>
    </row>
    <row r="64" spans="1:27" ht="15" customHeight="1">
      <c r="A64" s="43">
        <v>55</v>
      </c>
      <c r="B64" s="141">
        <v>55</v>
      </c>
      <c r="C64" s="142" t="str">
        <f t="shared" si="8"/>
        <v/>
      </c>
      <c r="D64" s="381" t="str">
        <f t="shared" si="9"/>
        <v/>
      </c>
      <c r="E64" s="381"/>
      <c r="F64" s="381"/>
      <c r="G64" s="381"/>
      <c r="H64" s="381"/>
      <c r="I64" s="381"/>
      <c r="J64" s="381"/>
      <c r="K64" s="381" t="str">
        <f t="shared" si="10"/>
        <v/>
      </c>
      <c r="L64" s="381"/>
      <c r="M64" s="381"/>
      <c r="N64" s="381"/>
      <c r="O64" s="381"/>
      <c r="P64" s="381"/>
      <c r="Q64" s="381"/>
      <c r="R64" s="143" t="str">
        <f t="shared" si="11"/>
        <v/>
      </c>
      <c r="S64" s="142" t="str">
        <f t="shared" si="12"/>
        <v>201987</v>
      </c>
      <c r="T64" s="349" t="str">
        <f t="shared" si="13"/>
        <v/>
      </c>
      <c r="U64" s="350"/>
      <c r="V64" s="351"/>
      <c r="W64" s="176"/>
      <c r="X64" s="352" t="str">
        <f t="shared" si="7"/>
        <v/>
      </c>
      <c r="Y64" s="350"/>
      <c r="Z64" s="353"/>
      <c r="AA64" s="4"/>
    </row>
    <row r="65" spans="1:27" ht="15" customHeight="1">
      <c r="A65" s="43">
        <v>56</v>
      </c>
      <c r="B65" s="141">
        <v>56</v>
      </c>
      <c r="C65" s="142" t="str">
        <f t="shared" si="8"/>
        <v/>
      </c>
      <c r="D65" s="381" t="str">
        <f t="shared" si="9"/>
        <v/>
      </c>
      <c r="E65" s="381"/>
      <c r="F65" s="381"/>
      <c r="G65" s="381"/>
      <c r="H65" s="381"/>
      <c r="I65" s="381"/>
      <c r="J65" s="381"/>
      <c r="K65" s="381" t="str">
        <f t="shared" si="10"/>
        <v/>
      </c>
      <c r="L65" s="381"/>
      <c r="M65" s="381"/>
      <c r="N65" s="381"/>
      <c r="O65" s="381"/>
      <c r="P65" s="381"/>
      <c r="Q65" s="381"/>
      <c r="R65" s="143" t="str">
        <f t="shared" si="11"/>
        <v/>
      </c>
      <c r="S65" s="142" t="str">
        <f t="shared" si="12"/>
        <v>1121741</v>
      </c>
      <c r="T65" s="349" t="str">
        <f t="shared" si="13"/>
        <v/>
      </c>
      <c r="U65" s="350"/>
      <c r="V65" s="351"/>
      <c r="W65" s="176"/>
      <c r="X65" s="352" t="str">
        <f t="shared" si="7"/>
        <v/>
      </c>
      <c r="Y65" s="350"/>
      <c r="Z65" s="353"/>
      <c r="AA65" s="4"/>
    </row>
    <row r="66" spans="1:27" ht="15" customHeight="1">
      <c r="A66" s="43">
        <v>57</v>
      </c>
      <c r="B66" s="141">
        <v>57</v>
      </c>
      <c r="C66" s="142" t="str">
        <f t="shared" si="8"/>
        <v/>
      </c>
      <c r="D66" s="381" t="str">
        <f t="shared" si="9"/>
        <v/>
      </c>
      <c r="E66" s="381"/>
      <c r="F66" s="381"/>
      <c r="G66" s="381"/>
      <c r="H66" s="381"/>
      <c r="I66" s="381"/>
      <c r="J66" s="381"/>
      <c r="K66" s="381" t="str">
        <f t="shared" si="10"/>
        <v/>
      </c>
      <c r="L66" s="381"/>
      <c r="M66" s="381"/>
      <c r="N66" s="381"/>
      <c r="O66" s="381"/>
      <c r="P66" s="381"/>
      <c r="Q66" s="381"/>
      <c r="R66" s="143" t="str">
        <f t="shared" si="11"/>
        <v/>
      </c>
      <c r="S66" s="142" t="str">
        <f t="shared" si="12"/>
        <v/>
      </c>
      <c r="T66" s="349" t="str">
        <f t="shared" si="13"/>
        <v/>
      </c>
      <c r="U66" s="350"/>
      <c r="V66" s="351"/>
      <c r="W66" s="176"/>
      <c r="X66" s="352" t="str">
        <f t="shared" si="7"/>
        <v/>
      </c>
      <c r="Y66" s="350"/>
      <c r="Z66" s="353"/>
      <c r="AA66" s="4"/>
    </row>
    <row r="67" spans="1:27" ht="15" customHeight="1">
      <c r="A67" s="43">
        <v>58</v>
      </c>
      <c r="B67" s="141">
        <v>58</v>
      </c>
      <c r="C67" s="142" t="str">
        <f t="shared" si="8"/>
        <v/>
      </c>
      <c r="D67" s="381" t="str">
        <f t="shared" si="9"/>
        <v/>
      </c>
      <c r="E67" s="381"/>
      <c r="F67" s="381"/>
      <c r="G67" s="381"/>
      <c r="H67" s="381"/>
      <c r="I67" s="381"/>
      <c r="J67" s="381"/>
      <c r="K67" s="381" t="str">
        <f t="shared" si="10"/>
        <v/>
      </c>
      <c r="L67" s="381"/>
      <c r="M67" s="381"/>
      <c r="N67" s="381"/>
      <c r="O67" s="381"/>
      <c r="P67" s="381"/>
      <c r="Q67" s="381"/>
      <c r="R67" s="143" t="str">
        <f t="shared" si="11"/>
        <v/>
      </c>
      <c r="S67" s="142" t="str">
        <f t="shared" si="12"/>
        <v/>
      </c>
      <c r="T67" s="349" t="str">
        <f t="shared" si="13"/>
        <v/>
      </c>
      <c r="U67" s="350"/>
      <c r="V67" s="351"/>
      <c r="W67" s="176"/>
      <c r="X67" s="352" t="str">
        <f t="shared" si="7"/>
        <v/>
      </c>
      <c r="Y67" s="350"/>
      <c r="Z67" s="353"/>
      <c r="AA67" s="4"/>
    </row>
    <row r="68" spans="1:27" ht="15" customHeight="1">
      <c r="A68" s="43">
        <v>59</v>
      </c>
      <c r="B68" s="141">
        <v>59</v>
      </c>
      <c r="C68" s="142" t="str">
        <f t="shared" si="8"/>
        <v/>
      </c>
      <c r="D68" s="381" t="str">
        <f t="shared" si="9"/>
        <v/>
      </c>
      <c r="E68" s="381"/>
      <c r="F68" s="381"/>
      <c r="G68" s="381"/>
      <c r="H68" s="381"/>
      <c r="I68" s="381"/>
      <c r="J68" s="381"/>
      <c r="K68" s="381" t="str">
        <f t="shared" si="10"/>
        <v/>
      </c>
      <c r="L68" s="381"/>
      <c r="M68" s="381"/>
      <c r="N68" s="381"/>
      <c r="O68" s="381"/>
      <c r="P68" s="381"/>
      <c r="Q68" s="381"/>
      <c r="R68" s="143" t="str">
        <f t="shared" si="11"/>
        <v/>
      </c>
      <c r="S68" s="142" t="str">
        <f t="shared" si="12"/>
        <v/>
      </c>
      <c r="T68" s="349" t="str">
        <f t="shared" si="13"/>
        <v/>
      </c>
      <c r="U68" s="350"/>
      <c r="V68" s="351"/>
      <c r="W68" s="176"/>
      <c r="X68" s="352" t="str">
        <f t="shared" si="7"/>
        <v/>
      </c>
      <c r="Y68" s="350"/>
      <c r="Z68" s="353"/>
      <c r="AA68" s="4"/>
    </row>
    <row r="69" spans="1:27" ht="15" customHeight="1">
      <c r="A69" s="43">
        <v>60</v>
      </c>
      <c r="B69" s="141">
        <v>60</v>
      </c>
      <c r="C69" s="142" t="str">
        <f t="shared" si="8"/>
        <v/>
      </c>
      <c r="D69" s="381" t="str">
        <f t="shared" si="9"/>
        <v/>
      </c>
      <c r="E69" s="381"/>
      <c r="F69" s="381"/>
      <c r="G69" s="381"/>
      <c r="H69" s="381"/>
      <c r="I69" s="381"/>
      <c r="J69" s="381"/>
      <c r="K69" s="381" t="str">
        <f t="shared" si="10"/>
        <v/>
      </c>
      <c r="L69" s="381"/>
      <c r="M69" s="381"/>
      <c r="N69" s="381"/>
      <c r="O69" s="381"/>
      <c r="P69" s="381"/>
      <c r="Q69" s="381"/>
      <c r="R69" s="143" t="str">
        <f t="shared" si="11"/>
        <v/>
      </c>
      <c r="S69" s="142" t="str">
        <f t="shared" si="12"/>
        <v/>
      </c>
      <c r="T69" s="349" t="str">
        <f t="shared" si="13"/>
        <v/>
      </c>
      <c r="U69" s="350"/>
      <c r="V69" s="351"/>
      <c r="W69" s="176"/>
      <c r="X69" s="352" t="str">
        <f t="shared" si="7"/>
        <v/>
      </c>
      <c r="Y69" s="350"/>
      <c r="Z69" s="353"/>
      <c r="AA69" s="4"/>
    </row>
    <row r="70" spans="1:27" ht="15" customHeight="1">
      <c r="A70" s="43">
        <v>61</v>
      </c>
      <c r="B70" s="141">
        <v>61</v>
      </c>
      <c r="C70" s="142" t="str">
        <f t="shared" si="8"/>
        <v/>
      </c>
      <c r="D70" s="381" t="str">
        <f t="shared" si="9"/>
        <v/>
      </c>
      <c r="E70" s="381"/>
      <c r="F70" s="381"/>
      <c r="G70" s="381"/>
      <c r="H70" s="381"/>
      <c r="I70" s="381"/>
      <c r="J70" s="381"/>
      <c r="K70" s="381" t="str">
        <f t="shared" si="10"/>
        <v/>
      </c>
      <c r="L70" s="381"/>
      <c r="M70" s="381"/>
      <c r="N70" s="381"/>
      <c r="O70" s="381"/>
      <c r="P70" s="381"/>
      <c r="Q70" s="381"/>
      <c r="R70" s="143" t="str">
        <f t="shared" si="11"/>
        <v/>
      </c>
      <c r="S70" s="142" t="str">
        <f t="shared" si="12"/>
        <v/>
      </c>
      <c r="T70" s="349" t="str">
        <f t="shared" si="13"/>
        <v/>
      </c>
      <c r="U70" s="350"/>
      <c r="V70" s="351"/>
      <c r="W70" s="176"/>
      <c r="X70" s="352" t="str">
        <f t="shared" si="7"/>
        <v/>
      </c>
      <c r="Y70" s="350"/>
      <c r="Z70" s="353"/>
      <c r="AA70" s="4"/>
    </row>
    <row r="71" spans="1:27" ht="15" customHeight="1">
      <c r="A71" s="43">
        <v>62</v>
      </c>
      <c r="B71" s="141">
        <v>62</v>
      </c>
      <c r="C71" s="142" t="str">
        <f t="shared" si="8"/>
        <v/>
      </c>
      <c r="D71" s="381" t="str">
        <f t="shared" si="9"/>
        <v/>
      </c>
      <c r="E71" s="381"/>
      <c r="F71" s="381"/>
      <c r="G71" s="381"/>
      <c r="H71" s="381"/>
      <c r="I71" s="381"/>
      <c r="J71" s="381"/>
      <c r="K71" s="381" t="str">
        <f t="shared" si="10"/>
        <v/>
      </c>
      <c r="L71" s="381"/>
      <c r="M71" s="381"/>
      <c r="N71" s="381"/>
      <c r="O71" s="381"/>
      <c r="P71" s="381"/>
      <c r="Q71" s="381"/>
      <c r="R71" s="143" t="str">
        <f t="shared" si="11"/>
        <v/>
      </c>
      <c r="S71" s="142" t="str">
        <f t="shared" si="12"/>
        <v/>
      </c>
      <c r="T71" s="349" t="str">
        <f t="shared" si="13"/>
        <v/>
      </c>
      <c r="U71" s="350"/>
      <c r="V71" s="351"/>
      <c r="W71" s="176"/>
      <c r="X71" s="352" t="str">
        <f t="shared" si="7"/>
        <v/>
      </c>
      <c r="Y71" s="350"/>
      <c r="Z71" s="353"/>
      <c r="AA71" s="4"/>
    </row>
    <row r="72" spans="1:27" ht="15" customHeight="1">
      <c r="A72" s="43">
        <v>63</v>
      </c>
      <c r="B72" s="141">
        <v>63</v>
      </c>
      <c r="C72" s="142" t="str">
        <f t="shared" si="8"/>
        <v/>
      </c>
      <c r="D72" s="381" t="str">
        <f t="shared" si="9"/>
        <v/>
      </c>
      <c r="E72" s="381"/>
      <c r="F72" s="381"/>
      <c r="G72" s="381"/>
      <c r="H72" s="381"/>
      <c r="I72" s="381"/>
      <c r="J72" s="381"/>
      <c r="K72" s="381" t="str">
        <f t="shared" si="10"/>
        <v/>
      </c>
      <c r="L72" s="381"/>
      <c r="M72" s="381"/>
      <c r="N72" s="381"/>
      <c r="O72" s="381"/>
      <c r="P72" s="381"/>
      <c r="Q72" s="381"/>
      <c r="R72" s="143" t="str">
        <f t="shared" si="11"/>
        <v/>
      </c>
      <c r="S72" s="142" t="str">
        <f t="shared" si="12"/>
        <v/>
      </c>
      <c r="T72" s="349" t="str">
        <f t="shared" si="13"/>
        <v/>
      </c>
      <c r="U72" s="350"/>
      <c r="V72" s="351"/>
      <c r="W72" s="176"/>
      <c r="X72" s="352" t="str">
        <f t="shared" si="7"/>
        <v/>
      </c>
      <c r="Y72" s="350"/>
      <c r="Z72" s="353"/>
      <c r="AA72" s="4"/>
    </row>
    <row r="73" spans="1:27" ht="15" customHeight="1">
      <c r="A73" s="43">
        <v>64</v>
      </c>
      <c r="B73" s="141">
        <v>64</v>
      </c>
      <c r="C73" s="142" t="str">
        <f t="shared" si="8"/>
        <v/>
      </c>
      <c r="D73" s="381" t="str">
        <f t="shared" si="9"/>
        <v/>
      </c>
      <c r="E73" s="381"/>
      <c r="F73" s="381"/>
      <c r="G73" s="381"/>
      <c r="H73" s="381"/>
      <c r="I73" s="381"/>
      <c r="J73" s="381"/>
      <c r="K73" s="381" t="str">
        <f t="shared" si="10"/>
        <v/>
      </c>
      <c r="L73" s="381"/>
      <c r="M73" s="381"/>
      <c r="N73" s="381"/>
      <c r="O73" s="381"/>
      <c r="P73" s="381"/>
      <c r="Q73" s="381"/>
      <c r="R73" s="143" t="str">
        <f t="shared" si="11"/>
        <v/>
      </c>
      <c r="S73" s="142" t="str">
        <f t="shared" si="12"/>
        <v/>
      </c>
      <c r="T73" s="349" t="str">
        <f t="shared" si="13"/>
        <v/>
      </c>
      <c r="U73" s="350"/>
      <c r="V73" s="351"/>
      <c r="W73" s="176"/>
      <c r="X73" s="352" t="str">
        <f t="shared" si="7"/>
        <v/>
      </c>
      <c r="Y73" s="350"/>
      <c r="Z73" s="353"/>
      <c r="AA73" s="4"/>
    </row>
    <row r="74" spans="1:27" ht="15" customHeight="1">
      <c r="A74" s="43">
        <v>65</v>
      </c>
      <c r="B74" s="141">
        <v>65</v>
      </c>
      <c r="C74" s="142" t="str">
        <f t="shared" ref="C74:C105" si="14">IF(IF(ISNA(VLOOKUP(A74,StartListHC,2,FALSE)),"",VLOOKUP(A74,StartListHC,2,FALSE))=0,"",IF(ISNA(VLOOKUP(A74,StartListHC,2,FALSE)),"",VLOOKUP(A74,StartListHC,2,FALSE)))</f>
        <v/>
      </c>
      <c r="D74" s="381" t="str">
        <f t="shared" ref="D74:D105" si="15">IF(IF(ISNA(VLOOKUP(A74,StartListHC,3,FALSE)),"",VLOOKUP(A74,StartListHC,3,FALSE))=0,"",IF(ISNA(VLOOKUP(A74,StartListHC,3,FALSE)),"",VLOOKUP(A74,StartListHC,3,FALSE)))</f>
        <v/>
      </c>
      <c r="E74" s="381"/>
      <c r="F74" s="381"/>
      <c r="G74" s="381"/>
      <c r="H74" s="381"/>
      <c r="I74" s="381"/>
      <c r="J74" s="381"/>
      <c r="K74" s="381" t="str">
        <f t="shared" ref="K74:K105" si="16">IF(IF(ISNA(VLOOKUP(A74,StartListHC,4,FALSE)),"",VLOOKUP(A74,StartListHC,4,FALSE))=0,"",IF(ISNA(VLOOKUP(A74,StartListHC,4,FALSE)),"",VLOOKUP(A74,StartListHC,4,FALSE)))</f>
        <v/>
      </c>
      <c r="L74" s="381"/>
      <c r="M74" s="381"/>
      <c r="N74" s="381"/>
      <c r="O74" s="381"/>
      <c r="P74" s="381"/>
      <c r="Q74" s="381"/>
      <c r="R74" s="143" t="str">
        <f t="shared" ref="R74:R105" si="17">IF(IF(ISNA(VLOOKUP(A74,StartListHC,6,FALSE)),"",VLOOKUP(A74,StartListHC,6,FALSE))=0,"",IF(ISNA(VLOOKUP(A74,StartListHC,6,FALSE)),"",VLOOKUP(A74,StartListHC,6,FALSE)))</f>
        <v/>
      </c>
      <c r="S74" s="142" t="str">
        <f t="shared" ref="S74:S105" si="18">IF(IF(ISNA(VLOOKUP(A74,StartList,6,FALSE)),"",VLOOKUP(A74,StartList,6,FALSE))=0,"",IF(ISNA(VLOOKUP(A74,StartList,6,FALSE)),"",VLOOKUP(A74,StartList,6,FALSE)))</f>
        <v/>
      </c>
      <c r="T74" s="349" t="str">
        <f t="shared" ref="T74:T105" si="19">IF(IF(ISNA(VLOOKUP(A74,StartListHC,9,FALSE)),"",VLOOKUP(A74,StartListHC,9,FALSE))=0,"",IF(ISNA(VLOOKUP(A74,StartListHC,9,FALSE)),"",VLOOKUP(A74,StartListHC,9,FALSE)))</f>
        <v/>
      </c>
      <c r="U74" s="350"/>
      <c r="V74" s="351"/>
      <c r="W74" s="176"/>
      <c r="X74" s="352" t="str">
        <f t="shared" si="7"/>
        <v/>
      </c>
      <c r="Y74" s="350"/>
      <c r="Z74" s="353"/>
      <c r="AA74" s="4"/>
    </row>
    <row r="75" spans="1:27" ht="15" customHeight="1">
      <c r="A75" s="43">
        <v>66</v>
      </c>
      <c r="B75" s="141">
        <v>66</v>
      </c>
      <c r="C75" s="142" t="str">
        <f t="shared" si="14"/>
        <v/>
      </c>
      <c r="D75" s="381" t="str">
        <f t="shared" si="15"/>
        <v/>
      </c>
      <c r="E75" s="381"/>
      <c r="F75" s="381"/>
      <c r="G75" s="381"/>
      <c r="H75" s="381"/>
      <c r="I75" s="381"/>
      <c r="J75" s="381"/>
      <c r="K75" s="381" t="str">
        <f t="shared" si="16"/>
        <v/>
      </c>
      <c r="L75" s="381"/>
      <c r="M75" s="381"/>
      <c r="N75" s="381"/>
      <c r="O75" s="381"/>
      <c r="P75" s="381"/>
      <c r="Q75" s="381"/>
      <c r="R75" s="143" t="str">
        <f t="shared" si="17"/>
        <v/>
      </c>
      <c r="S75" s="142" t="str">
        <f t="shared" si="18"/>
        <v/>
      </c>
      <c r="T75" s="349" t="str">
        <f t="shared" si="19"/>
        <v/>
      </c>
      <c r="U75" s="350"/>
      <c r="V75" s="351"/>
      <c r="W75" s="176"/>
      <c r="X75" s="352" t="str">
        <f t="shared" ref="X75:X138" si="20">IF(IF(ISNA(VLOOKUP(A75,StartListHC,12,FALSE)),"",VLOOKUP(A75,StartListHC,12,FALSE))=0,"",IF(ISNA(VLOOKUP(A75,StartListHC,12,FALSE)),"",VLOOKUP(A75,StartListHC,12,FALSE)))</f>
        <v/>
      </c>
      <c r="Y75" s="350"/>
      <c r="Z75" s="353"/>
      <c r="AA75" s="4"/>
    </row>
    <row r="76" spans="1:27" ht="15" customHeight="1">
      <c r="A76" s="43">
        <v>67</v>
      </c>
      <c r="B76" s="141">
        <v>67</v>
      </c>
      <c r="C76" s="142" t="str">
        <f t="shared" si="14"/>
        <v/>
      </c>
      <c r="D76" s="381" t="str">
        <f t="shared" si="15"/>
        <v/>
      </c>
      <c r="E76" s="381"/>
      <c r="F76" s="381"/>
      <c r="G76" s="381"/>
      <c r="H76" s="381"/>
      <c r="I76" s="381"/>
      <c r="J76" s="381"/>
      <c r="K76" s="381" t="str">
        <f t="shared" si="16"/>
        <v/>
      </c>
      <c r="L76" s="381"/>
      <c r="M76" s="381"/>
      <c r="N76" s="381"/>
      <c r="O76" s="381"/>
      <c r="P76" s="381"/>
      <c r="Q76" s="381"/>
      <c r="R76" s="143" t="str">
        <f t="shared" si="17"/>
        <v/>
      </c>
      <c r="S76" s="142" t="str">
        <f t="shared" si="18"/>
        <v/>
      </c>
      <c r="T76" s="349" t="str">
        <f t="shared" si="19"/>
        <v/>
      </c>
      <c r="U76" s="350"/>
      <c r="V76" s="351"/>
      <c r="W76" s="176"/>
      <c r="X76" s="352" t="str">
        <f t="shared" si="20"/>
        <v/>
      </c>
      <c r="Y76" s="350"/>
      <c r="Z76" s="353"/>
      <c r="AA76" s="4"/>
    </row>
    <row r="77" spans="1:27" ht="15" customHeight="1">
      <c r="A77" s="43">
        <v>68</v>
      </c>
      <c r="B77" s="141">
        <v>68</v>
      </c>
      <c r="C77" s="142" t="str">
        <f t="shared" si="14"/>
        <v/>
      </c>
      <c r="D77" s="381" t="str">
        <f t="shared" si="15"/>
        <v/>
      </c>
      <c r="E77" s="381"/>
      <c r="F77" s="381"/>
      <c r="G77" s="381"/>
      <c r="H77" s="381"/>
      <c r="I77" s="381"/>
      <c r="J77" s="381"/>
      <c r="K77" s="381" t="str">
        <f t="shared" si="16"/>
        <v/>
      </c>
      <c r="L77" s="381"/>
      <c r="M77" s="381"/>
      <c r="N77" s="381"/>
      <c r="O77" s="381"/>
      <c r="P77" s="381"/>
      <c r="Q77" s="381"/>
      <c r="R77" s="143" t="str">
        <f t="shared" si="17"/>
        <v/>
      </c>
      <c r="S77" s="142" t="str">
        <f t="shared" si="18"/>
        <v/>
      </c>
      <c r="T77" s="349" t="str">
        <f t="shared" si="19"/>
        <v/>
      </c>
      <c r="U77" s="350"/>
      <c r="V77" s="351"/>
      <c r="W77" s="176"/>
      <c r="X77" s="352" t="str">
        <f t="shared" si="20"/>
        <v/>
      </c>
      <c r="Y77" s="350"/>
      <c r="Z77" s="353"/>
      <c r="AA77" s="4"/>
    </row>
    <row r="78" spans="1:27" ht="15" customHeight="1">
      <c r="A78" s="43">
        <v>69</v>
      </c>
      <c r="B78" s="141">
        <v>69</v>
      </c>
      <c r="C78" s="142" t="str">
        <f t="shared" si="14"/>
        <v/>
      </c>
      <c r="D78" s="381" t="str">
        <f t="shared" si="15"/>
        <v/>
      </c>
      <c r="E78" s="381"/>
      <c r="F78" s="381"/>
      <c r="G78" s="381"/>
      <c r="H78" s="381"/>
      <c r="I78" s="381"/>
      <c r="J78" s="381"/>
      <c r="K78" s="381" t="str">
        <f t="shared" si="16"/>
        <v/>
      </c>
      <c r="L78" s="381"/>
      <c r="M78" s="381"/>
      <c r="N78" s="381"/>
      <c r="O78" s="381"/>
      <c r="P78" s="381"/>
      <c r="Q78" s="381"/>
      <c r="R78" s="143" t="str">
        <f t="shared" si="17"/>
        <v/>
      </c>
      <c r="S78" s="142" t="str">
        <f t="shared" si="18"/>
        <v/>
      </c>
      <c r="T78" s="349" t="str">
        <f t="shared" si="19"/>
        <v/>
      </c>
      <c r="U78" s="350"/>
      <c r="V78" s="351"/>
      <c r="W78" s="176"/>
      <c r="X78" s="352" t="str">
        <f t="shared" si="20"/>
        <v/>
      </c>
      <c r="Y78" s="350"/>
      <c r="Z78" s="353"/>
      <c r="AA78" s="4"/>
    </row>
    <row r="79" spans="1:27" ht="15" customHeight="1">
      <c r="A79" s="43">
        <v>70</v>
      </c>
      <c r="B79" s="141">
        <v>70</v>
      </c>
      <c r="C79" s="142" t="str">
        <f t="shared" si="14"/>
        <v/>
      </c>
      <c r="D79" s="381" t="str">
        <f t="shared" si="15"/>
        <v/>
      </c>
      <c r="E79" s="381"/>
      <c r="F79" s="381"/>
      <c r="G79" s="381"/>
      <c r="H79" s="381"/>
      <c r="I79" s="381"/>
      <c r="J79" s="381"/>
      <c r="K79" s="381" t="str">
        <f t="shared" si="16"/>
        <v/>
      </c>
      <c r="L79" s="381"/>
      <c r="M79" s="381"/>
      <c r="N79" s="381"/>
      <c r="O79" s="381"/>
      <c r="P79" s="381"/>
      <c r="Q79" s="381"/>
      <c r="R79" s="143" t="str">
        <f t="shared" si="17"/>
        <v/>
      </c>
      <c r="S79" s="142" t="str">
        <f t="shared" si="18"/>
        <v/>
      </c>
      <c r="T79" s="349" t="str">
        <f t="shared" si="19"/>
        <v/>
      </c>
      <c r="U79" s="350"/>
      <c r="V79" s="351"/>
      <c r="W79" s="176"/>
      <c r="X79" s="352" t="str">
        <f t="shared" si="20"/>
        <v/>
      </c>
      <c r="Y79" s="350"/>
      <c r="Z79" s="353"/>
      <c r="AA79" s="4"/>
    </row>
    <row r="80" spans="1:27" ht="15" customHeight="1">
      <c r="A80" s="43">
        <v>71</v>
      </c>
      <c r="B80" s="141">
        <v>71</v>
      </c>
      <c r="C80" s="142" t="str">
        <f t="shared" si="14"/>
        <v/>
      </c>
      <c r="D80" s="381" t="str">
        <f t="shared" si="15"/>
        <v/>
      </c>
      <c r="E80" s="381"/>
      <c r="F80" s="381"/>
      <c r="G80" s="381"/>
      <c r="H80" s="381"/>
      <c r="I80" s="381"/>
      <c r="J80" s="381"/>
      <c r="K80" s="381" t="str">
        <f t="shared" si="16"/>
        <v/>
      </c>
      <c r="L80" s="381"/>
      <c r="M80" s="381"/>
      <c r="N80" s="381"/>
      <c r="O80" s="381"/>
      <c r="P80" s="381"/>
      <c r="Q80" s="381"/>
      <c r="R80" s="143" t="str">
        <f t="shared" si="17"/>
        <v/>
      </c>
      <c r="S80" s="142" t="str">
        <f t="shared" si="18"/>
        <v/>
      </c>
      <c r="T80" s="349" t="str">
        <f t="shared" si="19"/>
        <v/>
      </c>
      <c r="U80" s="350"/>
      <c r="V80" s="351"/>
      <c r="W80" s="176"/>
      <c r="X80" s="352" t="str">
        <f t="shared" si="20"/>
        <v/>
      </c>
      <c r="Y80" s="350"/>
      <c r="Z80" s="353"/>
      <c r="AA80" s="4"/>
    </row>
    <row r="81" spans="1:27" ht="15" customHeight="1">
      <c r="A81" s="43">
        <v>72</v>
      </c>
      <c r="B81" s="141">
        <v>72</v>
      </c>
      <c r="C81" s="142" t="str">
        <f t="shared" si="14"/>
        <v/>
      </c>
      <c r="D81" s="381" t="str">
        <f t="shared" si="15"/>
        <v/>
      </c>
      <c r="E81" s="381"/>
      <c r="F81" s="381"/>
      <c r="G81" s="381"/>
      <c r="H81" s="381"/>
      <c r="I81" s="381"/>
      <c r="J81" s="381"/>
      <c r="K81" s="381" t="str">
        <f t="shared" si="16"/>
        <v/>
      </c>
      <c r="L81" s="381"/>
      <c r="M81" s="381"/>
      <c r="N81" s="381"/>
      <c r="O81" s="381"/>
      <c r="P81" s="381"/>
      <c r="Q81" s="381"/>
      <c r="R81" s="143" t="str">
        <f t="shared" si="17"/>
        <v/>
      </c>
      <c r="S81" s="142" t="str">
        <f t="shared" si="18"/>
        <v/>
      </c>
      <c r="T81" s="349" t="str">
        <f t="shared" si="19"/>
        <v/>
      </c>
      <c r="U81" s="350"/>
      <c r="V81" s="351"/>
      <c r="W81" s="176"/>
      <c r="X81" s="352" t="str">
        <f t="shared" si="20"/>
        <v/>
      </c>
      <c r="Y81" s="350"/>
      <c r="Z81" s="353"/>
      <c r="AA81" s="4"/>
    </row>
    <row r="82" spans="1:27" ht="15" customHeight="1">
      <c r="A82" s="43">
        <v>73</v>
      </c>
      <c r="B82" s="141">
        <v>73</v>
      </c>
      <c r="C82" s="142" t="str">
        <f t="shared" si="14"/>
        <v/>
      </c>
      <c r="D82" s="381" t="str">
        <f t="shared" si="15"/>
        <v/>
      </c>
      <c r="E82" s="381"/>
      <c r="F82" s="381"/>
      <c r="G82" s="381"/>
      <c r="H82" s="381"/>
      <c r="I82" s="381"/>
      <c r="J82" s="381"/>
      <c r="K82" s="381" t="str">
        <f t="shared" si="16"/>
        <v/>
      </c>
      <c r="L82" s="381"/>
      <c r="M82" s="381"/>
      <c r="N82" s="381"/>
      <c r="O82" s="381"/>
      <c r="P82" s="381"/>
      <c r="Q82" s="381"/>
      <c r="R82" s="143" t="str">
        <f t="shared" si="17"/>
        <v/>
      </c>
      <c r="S82" s="142" t="str">
        <f t="shared" si="18"/>
        <v/>
      </c>
      <c r="T82" s="349" t="str">
        <f t="shared" si="19"/>
        <v/>
      </c>
      <c r="U82" s="350"/>
      <c r="V82" s="351"/>
      <c r="W82" s="176"/>
      <c r="X82" s="352" t="str">
        <f t="shared" si="20"/>
        <v/>
      </c>
      <c r="Y82" s="350"/>
      <c r="Z82" s="353"/>
      <c r="AA82" s="4"/>
    </row>
    <row r="83" spans="1:27" ht="15" customHeight="1">
      <c r="A83" s="43">
        <v>74</v>
      </c>
      <c r="B83" s="141">
        <v>74</v>
      </c>
      <c r="C83" s="142" t="str">
        <f t="shared" si="14"/>
        <v/>
      </c>
      <c r="D83" s="381" t="str">
        <f t="shared" si="15"/>
        <v/>
      </c>
      <c r="E83" s="381"/>
      <c r="F83" s="381"/>
      <c r="G83" s="381"/>
      <c r="H83" s="381"/>
      <c r="I83" s="381"/>
      <c r="J83" s="381"/>
      <c r="K83" s="381" t="str">
        <f t="shared" si="16"/>
        <v/>
      </c>
      <c r="L83" s="381"/>
      <c r="M83" s="381"/>
      <c r="N83" s="381"/>
      <c r="O83" s="381"/>
      <c r="P83" s="381"/>
      <c r="Q83" s="381"/>
      <c r="R83" s="143" t="str">
        <f t="shared" si="17"/>
        <v/>
      </c>
      <c r="S83" s="142" t="str">
        <f t="shared" si="18"/>
        <v/>
      </c>
      <c r="T83" s="349" t="str">
        <f t="shared" si="19"/>
        <v/>
      </c>
      <c r="U83" s="350"/>
      <c r="V83" s="351"/>
      <c r="W83" s="176"/>
      <c r="X83" s="352" t="str">
        <f t="shared" si="20"/>
        <v/>
      </c>
      <c r="Y83" s="350"/>
      <c r="Z83" s="353"/>
      <c r="AA83" s="4"/>
    </row>
    <row r="84" spans="1:27" ht="15" customHeight="1">
      <c r="A84" s="43">
        <v>75</v>
      </c>
      <c r="B84" s="141">
        <v>75</v>
      </c>
      <c r="C84" s="142" t="str">
        <f t="shared" si="14"/>
        <v/>
      </c>
      <c r="D84" s="381" t="str">
        <f t="shared" si="15"/>
        <v/>
      </c>
      <c r="E84" s="381"/>
      <c r="F84" s="381"/>
      <c r="G84" s="381"/>
      <c r="H84" s="381"/>
      <c r="I84" s="381"/>
      <c r="J84" s="381"/>
      <c r="K84" s="381" t="str">
        <f t="shared" si="16"/>
        <v/>
      </c>
      <c r="L84" s="381"/>
      <c r="M84" s="381"/>
      <c r="N84" s="381"/>
      <c r="O84" s="381"/>
      <c r="P84" s="381"/>
      <c r="Q84" s="381"/>
      <c r="R84" s="143" t="str">
        <f t="shared" si="17"/>
        <v/>
      </c>
      <c r="S84" s="142" t="str">
        <f t="shared" si="18"/>
        <v/>
      </c>
      <c r="T84" s="349" t="str">
        <f t="shared" si="19"/>
        <v/>
      </c>
      <c r="U84" s="350"/>
      <c r="V84" s="351"/>
      <c r="W84" s="176"/>
      <c r="X84" s="352" t="str">
        <f t="shared" si="20"/>
        <v/>
      </c>
      <c r="Y84" s="350"/>
      <c r="Z84" s="353"/>
      <c r="AA84" s="4"/>
    </row>
    <row r="85" spans="1:27" ht="15" customHeight="1">
      <c r="A85" s="43">
        <v>76</v>
      </c>
      <c r="B85" s="141">
        <v>76</v>
      </c>
      <c r="C85" s="142" t="str">
        <f t="shared" si="14"/>
        <v/>
      </c>
      <c r="D85" s="381" t="str">
        <f t="shared" si="15"/>
        <v/>
      </c>
      <c r="E85" s="381"/>
      <c r="F85" s="381"/>
      <c r="G85" s="381"/>
      <c r="H85" s="381"/>
      <c r="I85" s="381"/>
      <c r="J85" s="381"/>
      <c r="K85" s="381" t="str">
        <f t="shared" si="16"/>
        <v/>
      </c>
      <c r="L85" s="381"/>
      <c r="M85" s="381"/>
      <c r="N85" s="381"/>
      <c r="O85" s="381"/>
      <c r="P85" s="381"/>
      <c r="Q85" s="381"/>
      <c r="R85" s="143" t="str">
        <f t="shared" si="17"/>
        <v/>
      </c>
      <c r="S85" s="142" t="str">
        <f t="shared" si="18"/>
        <v/>
      </c>
      <c r="T85" s="349" t="str">
        <f t="shared" si="19"/>
        <v/>
      </c>
      <c r="U85" s="350"/>
      <c r="V85" s="351"/>
      <c r="W85" s="176"/>
      <c r="X85" s="352" t="str">
        <f t="shared" si="20"/>
        <v/>
      </c>
      <c r="Y85" s="350"/>
      <c r="Z85" s="353"/>
      <c r="AA85" s="4"/>
    </row>
    <row r="86" spans="1:27" ht="15" customHeight="1">
      <c r="A86" s="43">
        <v>77</v>
      </c>
      <c r="B86" s="141">
        <v>77</v>
      </c>
      <c r="C86" s="142" t="str">
        <f t="shared" si="14"/>
        <v/>
      </c>
      <c r="D86" s="381" t="str">
        <f t="shared" si="15"/>
        <v/>
      </c>
      <c r="E86" s="381"/>
      <c r="F86" s="381"/>
      <c r="G86" s="381"/>
      <c r="H86" s="381"/>
      <c r="I86" s="381"/>
      <c r="J86" s="381"/>
      <c r="K86" s="381" t="str">
        <f t="shared" si="16"/>
        <v/>
      </c>
      <c r="L86" s="381"/>
      <c r="M86" s="381"/>
      <c r="N86" s="381"/>
      <c r="O86" s="381"/>
      <c r="P86" s="381"/>
      <c r="Q86" s="381"/>
      <c r="R86" s="143" t="str">
        <f t="shared" si="17"/>
        <v/>
      </c>
      <c r="S86" s="142" t="str">
        <f t="shared" si="18"/>
        <v/>
      </c>
      <c r="T86" s="349" t="str">
        <f t="shared" si="19"/>
        <v/>
      </c>
      <c r="U86" s="350"/>
      <c r="V86" s="351"/>
      <c r="W86" s="176"/>
      <c r="X86" s="352" t="str">
        <f t="shared" si="20"/>
        <v/>
      </c>
      <c r="Y86" s="350"/>
      <c r="Z86" s="353"/>
      <c r="AA86" s="4"/>
    </row>
    <row r="87" spans="1:27" ht="15" customHeight="1">
      <c r="A87" s="43">
        <v>78</v>
      </c>
      <c r="B87" s="141">
        <v>78</v>
      </c>
      <c r="C87" s="142" t="str">
        <f t="shared" si="14"/>
        <v/>
      </c>
      <c r="D87" s="381" t="str">
        <f t="shared" si="15"/>
        <v/>
      </c>
      <c r="E87" s="381"/>
      <c r="F87" s="381"/>
      <c r="G87" s="381"/>
      <c r="H87" s="381"/>
      <c r="I87" s="381"/>
      <c r="J87" s="381"/>
      <c r="K87" s="381" t="str">
        <f t="shared" si="16"/>
        <v/>
      </c>
      <c r="L87" s="381"/>
      <c r="M87" s="381"/>
      <c r="N87" s="381"/>
      <c r="O87" s="381"/>
      <c r="P87" s="381"/>
      <c r="Q87" s="381"/>
      <c r="R87" s="143" t="str">
        <f t="shared" si="17"/>
        <v/>
      </c>
      <c r="S87" s="142" t="str">
        <f t="shared" si="18"/>
        <v/>
      </c>
      <c r="T87" s="349" t="str">
        <f t="shared" si="19"/>
        <v/>
      </c>
      <c r="U87" s="350"/>
      <c r="V87" s="351"/>
      <c r="W87" s="176"/>
      <c r="X87" s="352" t="str">
        <f t="shared" si="20"/>
        <v/>
      </c>
      <c r="Y87" s="350"/>
      <c r="Z87" s="353"/>
      <c r="AA87" s="4"/>
    </row>
    <row r="88" spans="1:27" ht="15" customHeight="1">
      <c r="A88" s="43">
        <v>79</v>
      </c>
      <c r="B88" s="141">
        <v>79</v>
      </c>
      <c r="C88" s="142" t="str">
        <f t="shared" si="14"/>
        <v/>
      </c>
      <c r="D88" s="381" t="str">
        <f t="shared" si="15"/>
        <v/>
      </c>
      <c r="E88" s="381"/>
      <c r="F88" s="381"/>
      <c r="G88" s="381"/>
      <c r="H88" s="381"/>
      <c r="I88" s="381"/>
      <c r="J88" s="381"/>
      <c r="K88" s="381" t="str">
        <f t="shared" si="16"/>
        <v/>
      </c>
      <c r="L88" s="381"/>
      <c r="M88" s="381"/>
      <c r="N88" s="381"/>
      <c r="O88" s="381"/>
      <c r="P88" s="381"/>
      <c r="Q88" s="381"/>
      <c r="R88" s="143" t="str">
        <f t="shared" si="17"/>
        <v/>
      </c>
      <c r="S88" s="142" t="str">
        <f t="shared" si="18"/>
        <v/>
      </c>
      <c r="T88" s="349" t="str">
        <f t="shared" si="19"/>
        <v/>
      </c>
      <c r="U88" s="350"/>
      <c r="V88" s="351"/>
      <c r="W88" s="176"/>
      <c r="X88" s="352" t="str">
        <f t="shared" si="20"/>
        <v/>
      </c>
      <c r="Y88" s="350"/>
      <c r="Z88" s="353"/>
      <c r="AA88" s="4"/>
    </row>
    <row r="89" spans="1:27" ht="15" customHeight="1">
      <c r="A89" s="43">
        <v>80</v>
      </c>
      <c r="B89" s="141">
        <v>80</v>
      </c>
      <c r="C89" s="142" t="str">
        <f t="shared" si="14"/>
        <v/>
      </c>
      <c r="D89" s="381" t="str">
        <f t="shared" si="15"/>
        <v/>
      </c>
      <c r="E89" s="381"/>
      <c r="F89" s="381"/>
      <c r="G89" s="381"/>
      <c r="H89" s="381"/>
      <c r="I89" s="381"/>
      <c r="J89" s="381"/>
      <c r="K89" s="381" t="str">
        <f t="shared" si="16"/>
        <v/>
      </c>
      <c r="L89" s="381"/>
      <c r="M89" s="381"/>
      <c r="N89" s="381"/>
      <c r="O89" s="381"/>
      <c r="P89" s="381"/>
      <c r="Q89" s="381"/>
      <c r="R89" s="143" t="str">
        <f t="shared" si="17"/>
        <v/>
      </c>
      <c r="S89" s="142" t="str">
        <f t="shared" si="18"/>
        <v/>
      </c>
      <c r="T89" s="349" t="str">
        <f t="shared" si="19"/>
        <v/>
      </c>
      <c r="U89" s="350"/>
      <c r="V89" s="351"/>
      <c r="W89" s="176"/>
      <c r="X89" s="352" t="str">
        <f t="shared" si="20"/>
        <v/>
      </c>
      <c r="Y89" s="350"/>
      <c r="Z89" s="353"/>
      <c r="AA89" s="4"/>
    </row>
    <row r="90" spans="1:27" ht="15" customHeight="1">
      <c r="A90" s="43">
        <v>81</v>
      </c>
      <c r="B90" s="141">
        <v>81</v>
      </c>
      <c r="C90" s="142" t="str">
        <f t="shared" si="14"/>
        <v/>
      </c>
      <c r="D90" s="381" t="str">
        <f t="shared" si="15"/>
        <v/>
      </c>
      <c r="E90" s="381"/>
      <c r="F90" s="381"/>
      <c r="G90" s="381"/>
      <c r="H90" s="381"/>
      <c r="I90" s="381"/>
      <c r="J90" s="381"/>
      <c r="K90" s="381" t="str">
        <f t="shared" si="16"/>
        <v/>
      </c>
      <c r="L90" s="381"/>
      <c r="M90" s="381"/>
      <c r="N90" s="381"/>
      <c r="O90" s="381"/>
      <c r="P90" s="381"/>
      <c r="Q90" s="381"/>
      <c r="R90" s="143" t="str">
        <f t="shared" si="17"/>
        <v/>
      </c>
      <c r="S90" s="142" t="str">
        <f t="shared" si="18"/>
        <v/>
      </c>
      <c r="T90" s="349" t="str">
        <f t="shared" si="19"/>
        <v/>
      </c>
      <c r="U90" s="350"/>
      <c r="V90" s="351"/>
      <c r="W90" s="176"/>
      <c r="X90" s="352" t="str">
        <f t="shared" si="20"/>
        <v/>
      </c>
      <c r="Y90" s="350"/>
      <c r="Z90" s="353"/>
      <c r="AA90" s="4"/>
    </row>
    <row r="91" spans="1:27" ht="15" customHeight="1">
      <c r="A91" s="43">
        <v>82</v>
      </c>
      <c r="B91" s="141">
        <v>82</v>
      </c>
      <c r="C91" s="142" t="str">
        <f t="shared" si="14"/>
        <v/>
      </c>
      <c r="D91" s="381" t="str">
        <f t="shared" si="15"/>
        <v/>
      </c>
      <c r="E91" s="381"/>
      <c r="F91" s="381"/>
      <c r="G91" s="381"/>
      <c r="H91" s="381"/>
      <c r="I91" s="381"/>
      <c r="J91" s="381"/>
      <c r="K91" s="381" t="str">
        <f t="shared" si="16"/>
        <v/>
      </c>
      <c r="L91" s="381"/>
      <c r="M91" s="381"/>
      <c r="N91" s="381"/>
      <c r="O91" s="381"/>
      <c r="P91" s="381"/>
      <c r="Q91" s="381"/>
      <c r="R91" s="143" t="str">
        <f t="shared" si="17"/>
        <v/>
      </c>
      <c r="S91" s="142" t="str">
        <f t="shared" si="18"/>
        <v/>
      </c>
      <c r="T91" s="349" t="str">
        <f t="shared" si="19"/>
        <v/>
      </c>
      <c r="U91" s="350"/>
      <c r="V91" s="351"/>
      <c r="W91" s="176"/>
      <c r="X91" s="352" t="str">
        <f t="shared" si="20"/>
        <v/>
      </c>
      <c r="Y91" s="350"/>
      <c r="Z91" s="353"/>
      <c r="AA91" s="4"/>
    </row>
    <row r="92" spans="1:27" ht="15" customHeight="1">
      <c r="A92" s="43">
        <v>83</v>
      </c>
      <c r="B92" s="141">
        <v>83</v>
      </c>
      <c r="C92" s="142" t="str">
        <f t="shared" si="14"/>
        <v/>
      </c>
      <c r="D92" s="381" t="str">
        <f t="shared" si="15"/>
        <v/>
      </c>
      <c r="E92" s="381"/>
      <c r="F92" s="381"/>
      <c r="G92" s="381"/>
      <c r="H92" s="381"/>
      <c r="I92" s="381"/>
      <c r="J92" s="381"/>
      <c r="K92" s="381" t="str">
        <f t="shared" si="16"/>
        <v/>
      </c>
      <c r="L92" s="381"/>
      <c r="M92" s="381"/>
      <c r="N92" s="381"/>
      <c r="O92" s="381"/>
      <c r="P92" s="381"/>
      <c r="Q92" s="381"/>
      <c r="R92" s="143" t="str">
        <f t="shared" si="17"/>
        <v/>
      </c>
      <c r="S92" s="142" t="str">
        <f t="shared" si="18"/>
        <v/>
      </c>
      <c r="T92" s="349" t="str">
        <f t="shared" si="19"/>
        <v/>
      </c>
      <c r="U92" s="350"/>
      <c r="V92" s="351"/>
      <c r="W92" s="176"/>
      <c r="X92" s="352" t="str">
        <f t="shared" si="20"/>
        <v/>
      </c>
      <c r="Y92" s="350"/>
      <c r="Z92" s="353"/>
      <c r="AA92" s="4"/>
    </row>
    <row r="93" spans="1:27" ht="15" customHeight="1">
      <c r="A93" s="43">
        <v>84</v>
      </c>
      <c r="B93" s="141">
        <v>84</v>
      </c>
      <c r="C93" s="142" t="str">
        <f t="shared" si="14"/>
        <v/>
      </c>
      <c r="D93" s="381" t="str">
        <f t="shared" si="15"/>
        <v/>
      </c>
      <c r="E93" s="381"/>
      <c r="F93" s="381"/>
      <c r="G93" s="381"/>
      <c r="H93" s="381"/>
      <c r="I93" s="381"/>
      <c r="J93" s="381"/>
      <c r="K93" s="381" t="str">
        <f t="shared" si="16"/>
        <v/>
      </c>
      <c r="L93" s="381"/>
      <c r="M93" s="381"/>
      <c r="N93" s="381"/>
      <c r="O93" s="381"/>
      <c r="P93" s="381"/>
      <c r="Q93" s="381"/>
      <c r="R93" s="143" t="str">
        <f t="shared" si="17"/>
        <v/>
      </c>
      <c r="S93" s="142" t="str">
        <f t="shared" si="18"/>
        <v/>
      </c>
      <c r="T93" s="349" t="str">
        <f t="shared" si="19"/>
        <v/>
      </c>
      <c r="U93" s="350"/>
      <c r="V93" s="351"/>
      <c r="W93" s="176"/>
      <c r="X93" s="352" t="str">
        <f t="shared" si="20"/>
        <v/>
      </c>
      <c r="Y93" s="350"/>
      <c r="Z93" s="353"/>
      <c r="AA93" s="4"/>
    </row>
    <row r="94" spans="1:27" ht="15" customHeight="1">
      <c r="A94" s="43">
        <v>85</v>
      </c>
      <c r="B94" s="141">
        <v>85</v>
      </c>
      <c r="C94" s="142" t="str">
        <f t="shared" si="14"/>
        <v/>
      </c>
      <c r="D94" s="381" t="str">
        <f t="shared" si="15"/>
        <v/>
      </c>
      <c r="E94" s="381"/>
      <c r="F94" s="381"/>
      <c r="G94" s="381"/>
      <c r="H94" s="381"/>
      <c r="I94" s="381"/>
      <c r="J94" s="381"/>
      <c r="K94" s="381" t="str">
        <f t="shared" si="16"/>
        <v/>
      </c>
      <c r="L94" s="381"/>
      <c r="M94" s="381"/>
      <c r="N94" s="381"/>
      <c r="O94" s="381"/>
      <c r="P94" s="381"/>
      <c r="Q94" s="381"/>
      <c r="R94" s="143" t="str">
        <f t="shared" si="17"/>
        <v/>
      </c>
      <c r="S94" s="142" t="str">
        <f t="shared" si="18"/>
        <v/>
      </c>
      <c r="T94" s="349" t="str">
        <f t="shared" si="19"/>
        <v/>
      </c>
      <c r="U94" s="350"/>
      <c r="V94" s="351"/>
      <c r="W94" s="176"/>
      <c r="X94" s="352" t="str">
        <f t="shared" si="20"/>
        <v/>
      </c>
      <c r="Y94" s="350"/>
      <c r="Z94" s="353"/>
      <c r="AA94" s="4"/>
    </row>
    <row r="95" spans="1:27" ht="15" customHeight="1">
      <c r="A95" s="43">
        <v>86</v>
      </c>
      <c r="B95" s="141">
        <v>86</v>
      </c>
      <c r="C95" s="142" t="str">
        <f t="shared" si="14"/>
        <v/>
      </c>
      <c r="D95" s="381" t="str">
        <f t="shared" si="15"/>
        <v/>
      </c>
      <c r="E95" s="381"/>
      <c r="F95" s="381"/>
      <c r="G95" s="381"/>
      <c r="H95" s="381"/>
      <c r="I95" s="381"/>
      <c r="J95" s="381"/>
      <c r="K95" s="381" t="str">
        <f t="shared" si="16"/>
        <v/>
      </c>
      <c r="L95" s="381"/>
      <c r="M95" s="381"/>
      <c r="N95" s="381"/>
      <c r="O95" s="381"/>
      <c r="P95" s="381"/>
      <c r="Q95" s="381"/>
      <c r="R95" s="143" t="str">
        <f t="shared" si="17"/>
        <v/>
      </c>
      <c r="S95" s="142" t="str">
        <f t="shared" si="18"/>
        <v/>
      </c>
      <c r="T95" s="349" t="str">
        <f t="shared" si="19"/>
        <v/>
      </c>
      <c r="U95" s="350"/>
      <c r="V95" s="351"/>
      <c r="W95" s="176"/>
      <c r="X95" s="352" t="str">
        <f t="shared" si="20"/>
        <v/>
      </c>
      <c r="Y95" s="350"/>
      <c r="Z95" s="353"/>
      <c r="AA95" s="4"/>
    </row>
    <row r="96" spans="1:27" ht="15" customHeight="1">
      <c r="A96" s="43">
        <v>87</v>
      </c>
      <c r="B96" s="141">
        <v>87</v>
      </c>
      <c r="C96" s="142" t="str">
        <f t="shared" si="14"/>
        <v/>
      </c>
      <c r="D96" s="381" t="str">
        <f t="shared" si="15"/>
        <v/>
      </c>
      <c r="E96" s="381"/>
      <c r="F96" s="381"/>
      <c r="G96" s="381"/>
      <c r="H96" s="381"/>
      <c r="I96" s="381"/>
      <c r="J96" s="381"/>
      <c r="K96" s="381" t="str">
        <f t="shared" si="16"/>
        <v/>
      </c>
      <c r="L96" s="381"/>
      <c r="M96" s="381"/>
      <c r="N96" s="381"/>
      <c r="O96" s="381"/>
      <c r="P96" s="381"/>
      <c r="Q96" s="381"/>
      <c r="R96" s="143" t="str">
        <f t="shared" si="17"/>
        <v/>
      </c>
      <c r="S96" s="142" t="str">
        <f t="shared" si="18"/>
        <v/>
      </c>
      <c r="T96" s="349" t="str">
        <f t="shared" si="19"/>
        <v/>
      </c>
      <c r="U96" s="350"/>
      <c r="V96" s="351"/>
      <c r="W96" s="176"/>
      <c r="X96" s="352" t="str">
        <f t="shared" si="20"/>
        <v/>
      </c>
      <c r="Y96" s="350"/>
      <c r="Z96" s="353"/>
      <c r="AA96" s="4"/>
    </row>
    <row r="97" spans="1:27" ht="15" customHeight="1">
      <c r="A97" s="43">
        <v>88</v>
      </c>
      <c r="B97" s="141">
        <v>88</v>
      </c>
      <c r="C97" s="142" t="str">
        <f t="shared" si="14"/>
        <v/>
      </c>
      <c r="D97" s="381" t="str">
        <f t="shared" si="15"/>
        <v/>
      </c>
      <c r="E97" s="381"/>
      <c r="F97" s="381"/>
      <c r="G97" s="381"/>
      <c r="H97" s="381"/>
      <c r="I97" s="381"/>
      <c r="J97" s="381"/>
      <c r="K97" s="381" t="str">
        <f t="shared" si="16"/>
        <v/>
      </c>
      <c r="L97" s="381"/>
      <c r="M97" s="381"/>
      <c r="N97" s="381"/>
      <c r="O97" s="381"/>
      <c r="P97" s="381"/>
      <c r="Q97" s="381"/>
      <c r="R97" s="143" t="str">
        <f t="shared" si="17"/>
        <v/>
      </c>
      <c r="S97" s="142" t="str">
        <f t="shared" si="18"/>
        <v/>
      </c>
      <c r="T97" s="349" t="str">
        <f t="shared" si="19"/>
        <v/>
      </c>
      <c r="U97" s="350"/>
      <c r="V97" s="351"/>
      <c r="W97" s="176"/>
      <c r="X97" s="352" t="str">
        <f t="shared" si="20"/>
        <v/>
      </c>
      <c r="Y97" s="350"/>
      <c r="Z97" s="353"/>
      <c r="AA97" s="4"/>
    </row>
    <row r="98" spans="1:27" ht="15" customHeight="1">
      <c r="A98" s="43">
        <v>89</v>
      </c>
      <c r="B98" s="141">
        <v>89</v>
      </c>
      <c r="C98" s="142" t="str">
        <f t="shared" si="14"/>
        <v/>
      </c>
      <c r="D98" s="381" t="str">
        <f t="shared" si="15"/>
        <v/>
      </c>
      <c r="E98" s="381"/>
      <c r="F98" s="381"/>
      <c r="G98" s="381"/>
      <c r="H98" s="381"/>
      <c r="I98" s="381"/>
      <c r="J98" s="381"/>
      <c r="K98" s="381" t="str">
        <f t="shared" si="16"/>
        <v/>
      </c>
      <c r="L98" s="381"/>
      <c r="M98" s="381"/>
      <c r="N98" s="381"/>
      <c r="O98" s="381"/>
      <c r="P98" s="381"/>
      <c r="Q98" s="381"/>
      <c r="R98" s="143" t="str">
        <f t="shared" si="17"/>
        <v/>
      </c>
      <c r="S98" s="142" t="str">
        <f t="shared" si="18"/>
        <v/>
      </c>
      <c r="T98" s="349" t="str">
        <f t="shared" si="19"/>
        <v/>
      </c>
      <c r="U98" s="350"/>
      <c r="V98" s="351"/>
      <c r="W98" s="176"/>
      <c r="X98" s="352" t="str">
        <f t="shared" si="20"/>
        <v/>
      </c>
      <c r="Y98" s="350"/>
      <c r="Z98" s="353"/>
      <c r="AA98" s="4"/>
    </row>
    <row r="99" spans="1:27" ht="15" customHeight="1">
      <c r="A99" s="43">
        <v>90</v>
      </c>
      <c r="B99" s="141">
        <v>90</v>
      </c>
      <c r="C99" s="142" t="str">
        <f t="shared" si="14"/>
        <v/>
      </c>
      <c r="D99" s="381" t="str">
        <f t="shared" si="15"/>
        <v/>
      </c>
      <c r="E99" s="381"/>
      <c r="F99" s="381"/>
      <c r="G99" s="381"/>
      <c r="H99" s="381"/>
      <c r="I99" s="381"/>
      <c r="J99" s="381"/>
      <c r="K99" s="381" t="str">
        <f t="shared" si="16"/>
        <v/>
      </c>
      <c r="L99" s="381"/>
      <c r="M99" s="381"/>
      <c r="N99" s="381"/>
      <c r="O99" s="381"/>
      <c r="P99" s="381"/>
      <c r="Q99" s="381"/>
      <c r="R99" s="143" t="str">
        <f t="shared" si="17"/>
        <v/>
      </c>
      <c r="S99" s="142" t="str">
        <f t="shared" si="18"/>
        <v/>
      </c>
      <c r="T99" s="349" t="str">
        <f t="shared" si="19"/>
        <v/>
      </c>
      <c r="U99" s="350"/>
      <c r="V99" s="351"/>
      <c r="W99" s="176"/>
      <c r="X99" s="352" t="str">
        <f t="shared" si="20"/>
        <v/>
      </c>
      <c r="Y99" s="350"/>
      <c r="Z99" s="353"/>
      <c r="AA99" s="4"/>
    </row>
    <row r="100" spans="1:27" ht="15" customHeight="1">
      <c r="A100" s="43">
        <v>91</v>
      </c>
      <c r="B100" s="141">
        <v>91</v>
      </c>
      <c r="C100" s="142" t="str">
        <f t="shared" si="14"/>
        <v/>
      </c>
      <c r="D100" s="381" t="str">
        <f t="shared" si="15"/>
        <v/>
      </c>
      <c r="E100" s="381"/>
      <c r="F100" s="381"/>
      <c r="G100" s="381"/>
      <c r="H100" s="381"/>
      <c r="I100" s="381"/>
      <c r="J100" s="381"/>
      <c r="K100" s="381" t="str">
        <f t="shared" si="16"/>
        <v/>
      </c>
      <c r="L100" s="381"/>
      <c r="M100" s="381"/>
      <c r="N100" s="381"/>
      <c r="O100" s="381"/>
      <c r="P100" s="381"/>
      <c r="Q100" s="381"/>
      <c r="R100" s="143" t="str">
        <f t="shared" si="17"/>
        <v/>
      </c>
      <c r="S100" s="142" t="str">
        <f t="shared" si="18"/>
        <v/>
      </c>
      <c r="T100" s="349" t="str">
        <f t="shared" si="19"/>
        <v/>
      </c>
      <c r="U100" s="350"/>
      <c r="V100" s="351"/>
      <c r="W100" s="176"/>
      <c r="X100" s="352" t="str">
        <f t="shared" si="20"/>
        <v/>
      </c>
      <c r="Y100" s="350"/>
      <c r="Z100" s="353"/>
      <c r="AA100" s="4"/>
    </row>
    <row r="101" spans="1:27" ht="15" customHeight="1">
      <c r="A101" s="43">
        <v>92</v>
      </c>
      <c r="B101" s="141">
        <v>92</v>
      </c>
      <c r="C101" s="142" t="str">
        <f t="shared" si="14"/>
        <v/>
      </c>
      <c r="D101" s="381" t="str">
        <f t="shared" si="15"/>
        <v/>
      </c>
      <c r="E101" s="381"/>
      <c r="F101" s="381"/>
      <c r="G101" s="381"/>
      <c r="H101" s="381"/>
      <c r="I101" s="381"/>
      <c r="J101" s="381"/>
      <c r="K101" s="381" t="str">
        <f t="shared" si="16"/>
        <v/>
      </c>
      <c r="L101" s="381"/>
      <c r="M101" s="381"/>
      <c r="N101" s="381"/>
      <c r="O101" s="381"/>
      <c r="P101" s="381"/>
      <c r="Q101" s="381"/>
      <c r="R101" s="143" t="str">
        <f t="shared" si="17"/>
        <v/>
      </c>
      <c r="S101" s="142" t="str">
        <f t="shared" si="18"/>
        <v/>
      </c>
      <c r="T101" s="349" t="str">
        <f t="shared" si="19"/>
        <v/>
      </c>
      <c r="U101" s="350"/>
      <c r="V101" s="351"/>
      <c r="W101" s="176"/>
      <c r="X101" s="352" t="str">
        <f t="shared" si="20"/>
        <v/>
      </c>
      <c r="Y101" s="350"/>
      <c r="Z101" s="353"/>
      <c r="AA101" s="4"/>
    </row>
    <row r="102" spans="1:27" ht="15" customHeight="1">
      <c r="A102" s="43">
        <v>93</v>
      </c>
      <c r="B102" s="141">
        <v>93</v>
      </c>
      <c r="C102" s="142" t="str">
        <f t="shared" si="14"/>
        <v/>
      </c>
      <c r="D102" s="381" t="str">
        <f t="shared" si="15"/>
        <v/>
      </c>
      <c r="E102" s="381"/>
      <c r="F102" s="381"/>
      <c r="G102" s="381"/>
      <c r="H102" s="381"/>
      <c r="I102" s="381"/>
      <c r="J102" s="381"/>
      <c r="K102" s="381" t="str">
        <f t="shared" si="16"/>
        <v/>
      </c>
      <c r="L102" s="381"/>
      <c r="M102" s="381"/>
      <c r="N102" s="381"/>
      <c r="O102" s="381"/>
      <c r="P102" s="381"/>
      <c r="Q102" s="381"/>
      <c r="R102" s="143" t="str">
        <f t="shared" si="17"/>
        <v/>
      </c>
      <c r="S102" s="142" t="str">
        <f t="shared" si="18"/>
        <v/>
      </c>
      <c r="T102" s="349" t="str">
        <f t="shared" si="19"/>
        <v/>
      </c>
      <c r="U102" s="350"/>
      <c r="V102" s="351"/>
      <c r="W102" s="176"/>
      <c r="X102" s="352" t="str">
        <f t="shared" si="20"/>
        <v/>
      </c>
      <c r="Y102" s="350"/>
      <c r="Z102" s="353"/>
      <c r="AA102" s="4"/>
    </row>
    <row r="103" spans="1:27" ht="15" customHeight="1">
      <c r="A103" s="43">
        <v>94</v>
      </c>
      <c r="B103" s="141">
        <v>94</v>
      </c>
      <c r="C103" s="142" t="str">
        <f t="shared" si="14"/>
        <v/>
      </c>
      <c r="D103" s="381" t="str">
        <f t="shared" si="15"/>
        <v/>
      </c>
      <c r="E103" s="381"/>
      <c r="F103" s="381"/>
      <c r="G103" s="381"/>
      <c r="H103" s="381"/>
      <c r="I103" s="381"/>
      <c r="J103" s="381"/>
      <c r="K103" s="381" t="str">
        <f t="shared" si="16"/>
        <v/>
      </c>
      <c r="L103" s="381"/>
      <c r="M103" s="381"/>
      <c r="N103" s="381"/>
      <c r="O103" s="381"/>
      <c r="P103" s="381"/>
      <c r="Q103" s="381"/>
      <c r="R103" s="143" t="str">
        <f t="shared" si="17"/>
        <v/>
      </c>
      <c r="S103" s="142" t="str">
        <f t="shared" si="18"/>
        <v/>
      </c>
      <c r="T103" s="349" t="str">
        <f t="shared" si="19"/>
        <v/>
      </c>
      <c r="U103" s="350"/>
      <c r="V103" s="351"/>
      <c r="W103" s="176"/>
      <c r="X103" s="352" t="str">
        <f t="shared" si="20"/>
        <v/>
      </c>
      <c r="Y103" s="350"/>
      <c r="Z103" s="353"/>
      <c r="AA103" s="4"/>
    </row>
    <row r="104" spans="1:27" ht="15" customHeight="1">
      <c r="A104" s="43">
        <v>95</v>
      </c>
      <c r="B104" s="141">
        <v>95</v>
      </c>
      <c r="C104" s="142" t="str">
        <f t="shared" si="14"/>
        <v/>
      </c>
      <c r="D104" s="381" t="str">
        <f t="shared" si="15"/>
        <v/>
      </c>
      <c r="E104" s="381"/>
      <c r="F104" s="381"/>
      <c r="G104" s="381"/>
      <c r="H104" s="381"/>
      <c r="I104" s="381"/>
      <c r="J104" s="381"/>
      <c r="K104" s="381" t="str">
        <f t="shared" si="16"/>
        <v/>
      </c>
      <c r="L104" s="381"/>
      <c r="M104" s="381"/>
      <c r="N104" s="381"/>
      <c r="O104" s="381"/>
      <c r="P104" s="381"/>
      <c r="Q104" s="381"/>
      <c r="R104" s="143" t="str">
        <f t="shared" si="17"/>
        <v/>
      </c>
      <c r="S104" s="142" t="str">
        <f t="shared" si="18"/>
        <v/>
      </c>
      <c r="T104" s="349" t="str">
        <f t="shared" si="19"/>
        <v/>
      </c>
      <c r="U104" s="350"/>
      <c r="V104" s="351"/>
      <c r="W104" s="176"/>
      <c r="X104" s="352" t="str">
        <f t="shared" si="20"/>
        <v/>
      </c>
      <c r="Y104" s="350"/>
      <c r="Z104" s="353"/>
      <c r="AA104" s="4"/>
    </row>
    <row r="105" spans="1:27" ht="15" customHeight="1">
      <c r="A105" s="43">
        <v>96</v>
      </c>
      <c r="B105" s="141">
        <v>96</v>
      </c>
      <c r="C105" s="142" t="str">
        <f t="shared" si="14"/>
        <v/>
      </c>
      <c r="D105" s="381" t="str">
        <f t="shared" si="15"/>
        <v/>
      </c>
      <c r="E105" s="381"/>
      <c r="F105" s="381"/>
      <c r="G105" s="381"/>
      <c r="H105" s="381"/>
      <c r="I105" s="381"/>
      <c r="J105" s="381"/>
      <c r="K105" s="381" t="str">
        <f t="shared" si="16"/>
        <v/>
      </c>
      <c r="L105" s="381"/>
      <c r="M105" s="381"/>
      <c r="N105" s="381"/>
      <c r="O105" s="381"/>
      <c r="P105" s="381"/>
      <c r="Q105" s="381"/>
      <c r="R105" s="143" t="str">
        <f t="shared" si="17"/>
        <v/>
      </c>
      <c r="S105" s="142" t="str">
        <f t="shared" si="18"/>
        <v/>
      </c>
      <c r="T105" s="349" t="str">
        <f t="shared" si="19"/>
        <v/>
      </c>
      <c r="U105" s="350"/>
      <c r="V105" s="351"/>
      <c r="W105" s="176"/>
      <c r="X105" s="352" t="str">
        <f t="shared" si="20"/>
        <v/>
      </c>
      <c r="Y105" s="350"/>
      <c r="Z105" s="353"/>
      <c r="AA105" s="4"/>
    </row>
    <row r="106" spans="1:27" ht="15" customHeight="1">
      <c r="A106" s="43">
        <v>97</v>
      </c>
      <c r="B106" s="141">
        <v>97</v>
      </c>
      <c r="C106" s="142" t="str">
        <f t="shared" ref="C106:C137" si="21">IF(IF(ISNA(VLOOKUP(A106,StartListHC,2,FALSE)),"",VLOOKUP(A106,StartListHC,2,FALSE))=0,"",IF(ISNA(VLOOKUP(A106,StartListHC,2,FALSE)),"",VLOOKUP(A106,StartListHC,2,FALSE)))</f>
        <v/>
      </c>
      <c r="D106" s="381" t="str">
        <f t="shared" ref="D106:D137" si="22">IF(IF(ISNA(VLOOKUP(A106,StartListHC,3,FALSE)),"",VLOOKUP(A106,StartListHC,3,FALSE))=0,"",IF(ISNA(VLOOKUP(A106,StartListHC,3,FALSE)),"",VLOOKUP(A106,StartListHC,3,FALSE)))</f>
        <v/>
      </c>
      <c r="E106" s="381"/>
      <c r="F106" s="381"/>
      <c r="G106" s="381"/>
      <c r="H106" s="381"/>
      <c r="I106" s="381"/>
      <c r="J106" s="381"/>
      <c r="K106" s="381" t="str">
        <f t="shared" ref="K106:K137" si="23">IF(IF(ISNA(VLOOKUP(A106,StartListHC,4,FALSE)),"",VLOOKUP(A106,StartListHC,4,FALSE))=0,"",IF(ISNA(VLOOKUP(A106,StartListHC,4,FALSE)),"",VLOOKUP(A106,StartListHC,4,FALSE)))</f>
        <v/>
      </c>
      <c r="L106" s="381"/>
      <c r="M106" s="381"/>
      <c r="N106" s="381"/>
      <c r="O106" s="381"/>
      <c r="P106" s="381"/>
      <c r="Q106" s="381"/>
      <c r="R106" s="143" t="str">
        <f t="shared" ref="R106:R137" si="24">IF(IF(ISNA(VLOOKUP(A106,StartListHC,6,FALSE)),"",VLOOKUP(A106,StartListHC,6,FALSE))=0,"",IF(ISNA(VLOOKUP(A106,StartListHC,6,FALSE)),"",VLOOKUP(A106,StartListHC,6,FALSE)))</f>
        <v/>
      </c>
      <c r="S106" s="142" t="str">
        <f t="shared" ref="S106:S137" si="25">IF(IF(ISNA(VLOOKUP(A106,StartList,6,FALSE)),"",VLOOKUP(A106,StartList,6,FALSE))=0,"",IF(ISNA(VLOOKUP(A106,StartList,6,FALSE)),"",VLOOKUP(A106,StartList,6,FALSE)))</f>
        <v/>
      </c>
      <c r="T106" s="349" t="str">
        <f t="shared" ref="T106:T137" si="26">IF(IF(ISNA(VLOOKUP(A106,StartListHC,9,FALSE)),"",VLOOKUP(A106,StartListHC,9,FALSE))=0,"",IF(ISNA(VLOOKUP(A106,StartListHC,9,FALSE)),"",VLOOKUP(A106,StartListHC,9,FALSE)))</f>
        <v/>
      </c>
      <c r="U106" s="350"/>
      <c r="V106" s="351"/>
      <c r="W106" s="176"/>
      <c r="X106" s="352" t="str">
        <f t="shared" si="20"/>
        <v/>
      </c>
      <c r="Y106" s="350"/>
      <c r="Z106" s="353"/>
      <c r="AA106" s="4"/>
    </row>
    <row r="107" spans="1:27" ht="15" customHeight="1">
      <c r="A107" s="43">
        <v>98</v>
      </c>
      <c r="B107" s="141">
        <v>98</v>
      </c>
      <c r="C107" s="142" t="str">
        <f t="shared" si="21"/>
        <v/>
      </c>
      <c r="D107" s="381" t="str">
        <f t="shared" si="22"/>
        <v/>
      </c>
      <c r="E107" s="381"/>
      <c r="F107" s="381"/>
      <c r="G107" s="381"/>
      <c r="H107" s="381"/>
      <c r="I107" s="381"/>
      <c r="J107" s="381"/>
      <c r="K107" s="381" t="str">
        <f t="shared" si="23"/>
        <v/>
      </c>
      <c r="L107" s="381"/>
      <c r="M107" s="381"/>
      <c r="N107" s="381"/>
      <c r="O107" s="381"/>
      <c r="P107" s="381"/>
      <c r="Q107" s="381"/>
      <c r="R107" s="143" t="str">
        <f t="shared" si="24"/>
        <v/>
      </c>
      <c r="S107" s="142" t="str">
        <f t="shared" si="25"/>
        <v/>
      </c>
      <c r="T107" s="349" t="str">
        <f t="shared" si="26"/>
        <v/>
      </c>
      <c r="U107" s="350"/>
      <c r="V107" s="351"/>
      <c r="W107" s="176"/>
      <c r="X107" s="352" t="str">
        <f t="shared" si="20"/>
        <v/>
      </c>
      <c r="Y107" s="350"/>
      <c r="Z107" s="353"/>
      <c r="AA107" s="4"/>
    </row>
    <row r="108" spans="1:27" ht="15" customHeight="1">
      <c r="A108" s="43">
        <v>99</v>
      </c>
      <c r="B108" s="141">
        <v>99</v>
      </c>
      <c r="C108" s="142" t="str">
        <f t="shared" si="21"/>
        <v/>
      </c>
      <c r="D108" s="381" t="str">
        <f t="shared" si="22"/>
        <v/>
      </c>
      <c r="E108" s="381"/>
      <c r="F108" s="381"/>
      <c r="G108" s="381"/>
      <c r="H108" s="381"/>
      <c r="I108" s="381"/>
      <c r="J108" s="381"/>
      <c r="K108" s="381" t="str">
        <f t="shared" si="23"/>
        <v/>
      </c>
      <c r="L108" s="381"/>
      <c r="M108" s="381"/>
      <c r="N108" s="381"/>
      <c r="O108" s="381"/>
      <c r="P108" s="381"/>
      <c r="Q108" s="381"/>
      <c r="R108" s="143" t="str">
        <f t="shared" si="24"/>
        <v/>
      </c>
      <c r="S108" s="142" t="str">
        <f t="shared" si="25"/>
        <v/>
      </c>
      <c r="T108" s="349" t="str">
        <f t="shared" si="26"/>
        <v/>
      </c>
      <c r="U108" s="350"/>
      <c r="V108" s="351"/>
      <c r="W108" s="176"/>
      <c r="X108" s="352" t="str">
        <f t="shared" si="20"/>
        <v/>
      </c>
      <c r="Y108" s="350"/>
      <c r="Z108" s="353"/>
      <c r="AA108" s="4"/>
    </row>
    <row r="109" spans="1:27" ht="15" customHeight="1">
      <c r="A109" s="43">
        <v>100</v>
      </c>
      <c r="B109" s="141">
        <v>100</v>
      </c>
      <c r="C109" s="142" t="str">
        <f t="shared" si="21"/>
        <v/>
      </c>
      <c r="D109" s="381" t="str">
        <f t="shared" si="22"/>
        <v/>
      </c>
      <c r="E109" s="381"/>
      <c r="F109" s="381"/>
      <c r="G109" s="381"/>
      <c r="H109" s="381"/>
      <c r="I109" s="381"/>
      <c r="J109" s="381"/>
      <c r="K109" s="381" t="str">
        <f t="shared" si="23"/>
        <v/>
      </c>
      <c r="L109" s="381"/>
      <c r="M109" s="381"/>
      <c r="N109" s="381"/>
      <c r="O109" s="381"/>
      <c r="P109" s="381"/>
      <c r="Q109" s="381"/>
      <c r="R109" s="143" t="str">
        <f t="shared" si="24"/>
        <v/>
      </c>
      <c r="S109" s="142" t="str">
        <f t="shared" si="25"/>
        <v/>
      </c>
      <c r="T109" s="349" t="str">
        <f t="shared" si="26"/>
        <v/>
      </c>
      <c r="U109" s="350"/>
      <c r="V109" s="351"/>
      <c r="W109" s="176"/>
      <c r="X109" s="352" t="str">
        <f t="shared" si="20"/>
        <v/>
      </c>
      <c r="Y109" s="350"/>
      <c r="Z109" s="353"/>
      <c r="AA109" s="4"/>
    </row>
    <row r="110" spans="1:27" ht="15" customHeight="1">
      <c r="A110" s="43">
        <v>101</v>
      </c>
      <c r="B110" s="141">
        <v>101</v>
      </c>
      <c r="C110" s="142" t="str">
        <f t="shared" si="21"/>
        <v/>
      </c>
      <c r="D110" s="381" t="str">
        <f t="shared" si="22"/>
        <v/>
      </c>
      <c r="E110" s="381"/>
      <c r="F110" s="381"/>
      <c r="G110" s="381"/>
      <c r="H110" s="381"/>
      <c r="I110" s="381"/>
      <c r="J110" s="381"/>
      <c r="K110" s="381" t="str">
        <f t="shared" si="23"/>
        <v/>
      </c>
      <c r="L110" s="381"/>
      <c r="M110" s="381"/>
      <c r="N110" s="381"/>
      <c r="O110" s="381"/>
      <c r="P110" s="381"/>
      <c r="Q110" s="381"/>
      <c r="R110" s="143" t="str">
        <f t="shared" si="24"/>
        <v/>
      </c>
      <c r="S110" s="142" t="str">
        <f t="shared" si="25"/>
        <v/>
      </c>
      <c r="T110" s="349" t="str">
        <f t="shared" si="26"/>
        <v/>
      </c>
      <c r="U110" s="350"/>
      <c r="V110" s="351"/>
      <c r="W110" s="176"/>
      <c r="X110" s="352" t="str">
        <f t="shared" si="20"/>
        <v/>
      </c>
      <c r="Y110" s="350"/>
      <c r="Z110" s="353"/>
      <c r="AA110" s="4"/>
    </row>
    <row r="111" spans="1:27" ht="15" customHeight="1">
      <c r="A111" s="43">
        <v>102</v>
      </c>
      <c r="B111" s="141">
        <v>102</v>
      </c>
      <c r="C111" s="142" t="str">
        <f t="shared" si="21"/>
        <v/>
      </c>
      <c r="D111" s="381" t="str">
        <f t="shared" si="22"/>
        <v/>
      </c>
      <c r="E111" s="381"/>
      <c r="F111" s="381"/>
      <c r="G111" s="381"/>
      <c r="H111" s="381"/>
      <c r="I111" s="381"/>
      <c r="J111" s="381"/>
      <c r="K111" s="381" t="str">
        <f t="shared" si="23"/>
        <v/>
      </c>
      <c r="L111" s="381"/>
      <c r="M111" s="381"/>
      <c r="N111" s="381"/>
      <c r="O111" s="381"/>
      <c r="P111" s="381"/>
      <c r="Q111" s="381"/>
      <c r="R111" s="143" t="str">
        <f t="shared" si="24"/>
        <v/>
      </c>
      <c r="S111" s="142" t="str">
        <f t="shared" si="25"/>
        <v/>
      </c>
      <c r="T111" s="349" t="str">
        <f t="shared" si="26"/>
        <v/>
      </c>
      <c r="U111" s="350"/>
      <c r="V111" s="351"/>
      <c r="W111" s="176"/>
      <c r="X111" s="352" t="str">
        <f t="shared" si="20"/>
        <v/>
      </c>
      <c r="Y111" s="350"/>
      <c r="Z111" s="353"/>
      <c r="AA111" s="4"/>
    </row>
    <row r="112" spans="1:27" ht="15" customHeight="1">
      <c r="A112" s="43">
        <v>103</v>
      </c>
      <c r="B112" s="141">
        <v>103</v>
      </c>
      <c r="C112" s="142" t="str">
        <f t="shared" si="21"/>
        <v/>
      </c>
      <c r="D112" s="381" t="str">
        <f t="shared" si="22"/>
        <v/>
      </c>
      <c r="E112" s="381"/>
      <c r="F112" s="381"/>
      <c r="G112" s="381"/>
      <c r="H112" s="381"/>
      <c r="I112" s="381"/>
      <c r="J112" s="381"/>
      <c r="K112" s="381" t="str">
        <f t="shared" si="23"/>
        <v/>
      </c>
      <c r="L112" s="381"/>
      <c r="M112" s="381"/>
      <c r="N112" s="381"/>
      <c r="O112" s="381"/>
      <c r="P112" s="381"/>
      <c r="Q112" s="381"/>
      <c r="R112" s="143" t="str">
        <f t="shared" si="24"/>
        <v/>
      </c>
      <c r="S112" s="142" t="str">
        <f t="shared" si="25"/>
        <v/>
      </c>
      <c r="T112" s="349" t="str">
        <f t="shared" si="26"/>
        <v/>
      </c>
      <c r="U112" s="350"/>
      <c r="V112" s="351"/>
      <c r="W112" s="176"/>
      <c r="X112" s="352" t="str">
        <f t="shared" si="20"/>
        <v/>
      </c>
      <c r="Y112" s="350"/>
      <c r="Z112" s="353"/>
      <c r="AA112" s="4"/>
    </row>
    <row r="113" spans="1:27" ht="15" customHeight="1">
      <c r="A113" s="43">
        <v>104</v>
      </c>
      <c r="B113" s="141">
        <v>104</v>
      </c>
      <c r="C113" s="142" t="str">
        <f t="shared" si="21"/>
        <v/>
      </c>
      <c r="D113" s="381" t="str">
        <f t="shared" si="22"/>
        <v/>
      </c>
      <c r="E113" s="381"/>
      <c r="F113" s="381"/>
      <c r="G113" s="381"/>
      <c r="H113" s="381"/>
      <c r="I113" s="381"/>
      <c r="J113" s="381"/>
      <c r="K113" s="381" t="str">
        <f t="shared" si="23"/>
        <v/>
      </c>
      <c r="L113" s="381"/>
      <c r="M113" s="381"/>
      <c r="N113" s="381"/>
      <c r="O113" s="381"/>
      <c r="P113" s="381"/>
      <c r="Q113" s="381"/>
      <c r="R113" s="143" t="str">
        <f t="shared" si="24"/>
        <v/>
      </c>
      <c r="S113" s="142" t="str">
        <f t="shared" si="25"/>
        <v/>
      </c>
      <c r="T113" s="349" t="str">
        <f t="shared" si="26"/>
        <v/>
      </c>
      <c r="U113" s="350"/>
      <c r="V113" s="351"/>
      <c r="W113" s="176"/>
      <c r="X113" s="352" t="str">
        <f t="shared" si="20"/>
        <v/>
      </c>
      <c r="Y113" s="350"/>
      <c r="Z113" s="353"/>
      <c r="AA113" s="4"/>
    </row>
    <row r="114" spans="1:27" ht="15" customHeight="1">
      <c r="A114" s="43">
        <v>105</v>
      </c>
      <c r="B114" s="141">
        <v>105</v>
      </c>
      <c r="C114" s="142" t="str">
        <f t="shared" si="21"/>
        <v/>
      </c>
      <c r="D114" s="381" t="str">
        <f t="shared" si="22"/>
        <v/>
      </c>
      <c r="E114" s="381"/>
      <c r="F114" s="381"/>
      <c r="G114" s="381"/>
      <c r="H114" s="381"/>
      <c r="I114" s="381"/>
      <c r="J114" s="381"/>
      <c r="K114" s="381" t="str">
        <f t="shared" si="23"/>
        <v/>
      </c>
      <c r="L114" s="381"/>
      <c r="M114" s="381"/>
      <c r="N114" s="381"/>
      <c r="O114" s="381"/>
      <c r="P114" s="381"/>
      <c r="Q114" s="381"/>
      <c r="R114" s="143" t="str">
        <f t="shared" si="24"/>
        <v/>
      </c>
      <c r="S114" s="142" t="str">
        <f t="shared" si="25"/>
        <v/>
      </c>
      <c r="T114" s="349" t="str">
        <f t="shared" si="26"/>
        <v/>
      </c>
      <c r="U114" s="350"/>
      <c r="V114" s="351"/>
      <c r="W114" s="176"/>
      <c r="X114" s="352" t="str">
        <f t="shared" si="20"/>
        <v/>
      </c>
      <c r="Y114" s="350"/>
      <c r="Z114" s="353"/>
      <c r="AA114" s="4"/>
    </row>
    <row r="115" spans="1:27" ht="15" customHeight="1">
      <c r="A115" s="43">
        <v>106</v>
      </c>
      <c r="B115" s="141">
        <v>106</v>
      </c>
      <c r="C115" s="142" t="str">
        <f t="shared" si="21"/>
        <v/>
      </c>
      <c r="D115" s="381" t="str">
        <f t="shared" si="22"/>
        <v/>
      </c>
      <c r="E115" s="381"/>
      <c r="F115" s="381"/>
      <c r="G115" s="381"/>
      <c r="H115" s="381"/>
      <c r="I115" s="381"/>
      <c r="J115" s="381"/>
      <c r="K115" s="381" t="str">
        <f t="shared" si="23"/>
        <v/>
      </c>
      <c r="L115" s="381"/>
      <c r="M115" s="381"/>
      <c r="N115" s="381"/>
      <c r="O115" s="381"/>
      <c r="P115" s="381"/>
      <c r="Q115" s="381"/>
      <c r="R115" s="143" t="str">
        <f t="shared" si="24"/>
        <v/>
      </c>
      <c r="S115" s="142" t="str">
        <f t="shared" si="25"/>
        <v/>
      </c>
      <c r="T115" s="349" t="str">
        <f t="shared" si="26"/>
        <v/>
      </c>
      <c r="U115" s="350"/>
      <c r="V115" s="351"/>
      <c r="W115" s="176"/>
      <c r="X115" s="352" t="str">
        <f t="shared" si="20"/>
        <v/>
      </c>
      <c r="Y115" s="350"/>
      <c r="Z115" s="353"/>
      <c r="AA115" s="4"/>
    </row>
    <row r="116" spans="1:27" ht="15" customHeight="1">
      <c r="A116" s="43">
        <v>107</v>
      </c>
      <c r="B116" s="141">
        <v>107</v>
      </c>
      <c r="C116" s="142" t="str">
        <f t="shared" si="21"/>
        <v/>
      </c>
      <c r="D116" s="381" t="str">
        <f t="shared" si="22"/>
        <v/>
      </c>
      <c r="E116" s="381"/>
      <c r="F116" s="381"/>
      <c r="G116" s="381"/>
      <c r="H116" s="381"/>
      <c r="I116" s="381"/>
      <c r="J116" s="381"/>
      <c r="K116" s="381" t="str">
        <f t="shared" si="23"/>
        <v/>
      </c>
      <c r="L116" s="381"/>
      <c r="M116" s="381"/>
      <c r="N116" s="381"/>
      <c r="O116" s="381"/>
      <c r="P116" s="381"/>
      <c r="Q116" s="381"/>
      <c r="R116" s="143" t="str">
        <f t="shared" si="24"/>
        <v/>
      </c>
      <c r="S116" s="142" t="str">
        <f t="shared" si="25"/>
        <v/>
      </c>
      <c r="T116" s="349" t="str">
        <f t="shared" si="26"/>
        <v/>
      </c>
      <c r="U116" s="350"/>
      <c r="V116" s="351"/>
      <c r="W116" s="176"/>
      <c r="X116" s="352" t="str">
        <f t="shared" si="20"/>
        <v/>
      </c>
      <c r="Y116" s="350"/>
      <c r="Z116" s="353"/>
      <c r="AA116" s="4"/>
    </row>
    <row r="117" spans="1:27" ht="15" customHeight="1">
      <c r="A117" s="43">
        <v>108</v>
      </c>
      <c r="B117" s="141">
        <v>108</v>
      </c>
      <c r="C117" s="142" t="str">
        <f t="shared" si="21"/>
        <v/>
      </c>
      <c r="D117" s="381" t="str">
        <f t="shared" si="22"/>
        <v/>
      </c>
      <c r="E117" s="381"/>
      <c r="F117" s="381"/>
      <c r="G117" s="381"/>
      <c r="H117" s="381"/>
      <c r="I117" s="381"/>
      <c r="J117" s="381"/>
      <c r="K117" s="381" t="str">
        <f t="shared" si="23"/>
        <v/>
      </c>
      <c r="L117" s="381"/>
      <c r="M117" s="381"/>
      <c r="N117" s="381"/>
      <c r="O117" s="381"/>
      <c r="P117" s="381"/>
      <c r="Q117" s="381"/>
      <c r="R117" s="143" t="str">
        <f t="shared" si="24"/>
        <v/>
      </c>
      <c r="S117" s="142" t="str">
        <f t="shared" si="25"/>
        <v/>
      </c>
      <c r="T117" s="349" t="str">
        <f t="shared" si="26"/>
        <v/>
      </c>
      <c r="U117" s="350"/>
      <c r="V117" s="351"/>
      <c r="W117" s="176"/>
      <c r="X117" s="352" t="str">
        <f t="shared" si="20"/>
        <v/>
      </c>
      <c r="Y117" s="350"/>
      <c r="Z117" s="353"/>
      <c r="AA117" s="4"/>
    </row>
    <row r="118" spans="1:27" ht="15" customHeight="1">
      <c r="A118" s="43">
        <v>109</v>
      </c>
      <c r="B118" s="141">
        <v>109</v>
      </c>
      <c r="C118" s="142" t="str">
        <f t="shared" si="21"/>
        <v/>
      </c>
      <c r="D118" s="381" t="str">
        <f t="shared" si="22"/>
        <v/>
      </c>
      <c r="E118" s="381"/>
      <c r="F118" s="381"/>
      <c r="G118" s="381"/>
      <c r="H118" s="381"/>
      <c r="I118" s="381"/>
      <c r="J118" s="381"/>
      <c r="K118" s="381" t="str">
        <f t="shared" si="23"/>
        <v/>
      </c>
      <c r="L118" s="381"/>
      <c r="M118" s="381"/>
      <c r="N118" s="381"/>
      <c r="O118" s="381"/>
      <c r="P118" s="381"/>
      <c r="Q118" s="381"/>
      <c r="R118" s="143" t="str">
        <f t="shared" si="24"/>
        <v/>
      </c>
      <c r="S118" s="142" t="str">
        <f t="shared" si="25"/>
        <v/>
      </c>
      <c r="T118" s="349" t="str">
        <f t="shared" si="26"/>
        <v/>
      </c>
      <c r="U118" s="350"/>
      <c r="V118" s="351"/>
      <c r="W118" s="176"/>
      <c r="X118" s="352" t="str">
        <f t="shared" si="20"/>
        <v/>
      </c>
      <c r="Y118" s="350"/>
      <c r="Z118" s="353"/>
      <c r="AA118" s="4"/>
    </row>
    <row r="119" spans="1:27" ht="15" customHeight="1">
      <c r="A119" s="43">
        <v>110</v>
      </c>
      <c r="B119" s="141">
        <v>110</v>
      </c>
      <c r="C119" s="142" t="str">
        <f t="shared" si="21"/>
        <v/>
      </c>
      <c r="D119" s="381" t="str">
        <f t="shared" si="22"/>
        <v/>
      </c>
      <c r="E119" s="381"/>
      <c r="F119" s="381"/>
      <c r="G119" s="381"/>
      <c r="H119" s="381"/>
      <c r="I119" s="381"/>
      <c r="J119" s="381"/>
      <c r="K119" s="381" t="str">
        <f t="shared" si="23"/>
        <v/>
      </c>
      <c r="L119" s="381"/>
      <c r="M119" s="381"/>
      <c r="N119" s="381"/>
      <c r="O119" s="381"/>
      <c r="P119" s="381"/>
      <c r="Q119" s="381"/>
      <c r="R119" s="143" t="str">
        <f t="shared" si="24"/>
        <v/>
      </c>
      <c r="S119" s="142" t="str">
        <f t="shared" si="25"/>
        <v/>
      </c>
      <c r="T119" s="349" t="str">
        <f t="shared" si="26"/>
        <v/>
      </c>
      <c r="U119" s="350"/>
      <c r="V119" s="351"/>
      <c r="W119" s="176"/>
      <c r="X119" s="352" t="str">
        <f t="shared" si="20"/>
        <v/>
      </c>
      <c r="Y119" s="350"/>
      <c r="Z119" s="353"/>
      <c r="AA119" s="4"/>
    </row>
    <row r="120" spans="1:27" ht="15" customHeight="1">
      <c r="A120" s="43">
        <v>111</v>
      </c>
      <c r="B120" s="141">
        <v>111</v>
      </c>
      <c r="C120" s="142" t="str">
        <f t="shared" si="21"/>
        <v/>
      </c>
      <c r="D120" s="381" t="str">
        <f t="shared" si="22"/>
        <v/>
      </c>
      <c r="E120" s="381"/>
      <c r="F120" s="381"/>
      <c r="G120" s="381"/>
      <c r="H120" s="381"/>
      <c r="I120" s="381"/>
      <c r="J120" s="381"/>
      <c r="K120" s="381" t="str">
        <f t="shared" si="23"/>
        <v/>
      </c>
      <c r="L120" s="381"/>
      <c r="M120" s="381"/>
      <c r="N120" s="381"/>
      <c r="O120" s="381"/>
      <c r="P120" s="381"/>
      <c r="Q120" s="381"/>
      <c r="R120" s="143" t="str">
        <f t="shared" si="24"/>
        <v/>
      </c>
      <c r="S120" s="142" t="str">
        <f t="shared" si="25"/>
        <v/>
      </c>
      <c r="T120" s="349" t="str">
        <f t="shared" si="26"/>
        <v/>
      </c>
      <c r="U120" s="350"/>
      <c r="V120" s="351"/>
      <c r="W120" s="176"/>
      <c r="X120" s="352" t="str">
        <f t="shared" si="20"/>
        <v/>
      </c>
      <c r="Y120" s="350"/>
      <c r="Z120" s="353"/>
      <c r="AA120" s="4"/>
    </row>
    <row r="121" spans="1:27" ht="15" customHeight="1">
      <c r="A121" s="43">
        <v>112</v>
      </c>
      <c r="B121" s="141">
        <v>112</v>
      </c>
      <c r="C121" s="142" t="str">
        <f t="shared" si="21"/>
        <v/>
      </c>
      <c r="D121" s="381" t="str">
        <f t="shared" si="22"/>
        <v/>
      </c>
      <c r="E121" s="381"/>
      <c r="F121" s="381"/>
      <c r="G121" s="381"/>
      <c r="H121" s="381"/>
      <c r="I121" s="381"/>
      <c r="J121" s="381"/>
      <c r="K121" s="381" t="str">
        <f t="shared" si="23"/>
        <v/>
      </c>
      <c r="L121" s="381"/>
      <c r="M121" s="381"/>
      <c r="N121" s="381"/>
      <c r="O121" s="381"/>
      <c r="P121" s="381"/>
      <c r="Q121" s="381"/>
      <c r="R121" s="143" t="str">
        <f t="shared" si="24"/>
        <v/>
      </c>
      <c r="S121" s="142" t="str">
        <f t="shared" si="25"/>
        <v/>
      </c>
      <c r="T121" s="349" t="str">
        <f t="shared" si="26"/>
        <v/>
      </c>
      <c r="U121" s="350"/>
      <c r="V121" s="351"/>
      <c r="W121" s="176"/>
      <c r="X121" s="352" t="str">
        <f t="shared" si="20"/>
        <v/>
      </c>
      <c r="Y121" s="350"/>
      <c r="Z121" s="353"/>
      <c r="AA121" s="4"/>
    </row>
    <row r="122" spans="1:27" ht="15" customHeight="1">
      <c r="A122" s="43">
        <v>113</v>
      </c>
      <c r="B122" s="141">
        <v>113</v>
      </c>
      <c r="C122" s="142" t="str">
        <f t="shared" si="21"/>
        <v/>
      </c>
      <c r="D122" s="381" t="str">
        <f t="shared" si="22"/>
        <v/>
      </c>
      <c r="E122" s="381"/>
      <c r="F122" s="381"/>
      <c r="G122" s="381"/>
      <c r="H122" s="381"/>
      <c r="I122" s="381"/>
      <c r="J122" s="381"/>
      <c r="K122" s="381" t="str">
        <f t="shared" si="23"/>
        <v/>
      </c>
      <c r="L122" s="381"/>
      <c r="M122" s="381"/>
      <c r="N122" s="381"/>
      <c r="O122" s="381"/>
      <c r="P122" s="381"/>
      <c r="Q122" s="381"/>
      <c r="R122" s="143" t="str">
        <f t="shared" si="24"/>
        <v/>
      </c>
      <c r="S122" s="142" t="str">
        <f t="shared" si="25"/>
        <v/>
      </c>
      <c r="T122" s="349" t="str">
        <f t="shared" si="26"/>
        <v/>
      </c>
      <c r="U122" s="350"/>
      <c r="V122" s="351"/>
      <c r="W122" s="176"/>
      <c r="X122" s="352" t="str">
        <f t="shared" si="20"/>
        <v/>
      </c>
      <c r="Y122" s="350"/>
      <c r="Z122" s="353"/>
      <c r="AA122" s="4"/>
    </row>
    <row r="123" spans="1:27" ht="15" customHeight="1">
      <c r="A123" s="43">
        <v>114</v>
      </c>
      <c r="B123" s="141">
        <v>114</v>
      </c>
      <c r="C123" s="142" t="str">
        <f t="shared" si="21"/>
        <v/>
      </c>
      <c r="D123" s="381" t="str">
        <f t="shared" si="22"/>
        <v/>
      </c>
      <c r="E123" s="381"/>
      <c r="F123" s="381"/>
      <c r="G123" s="381"/>
      <c r="H123" s="381"/>
      <c r="I123" s="381"/>
      <c r="J123" s="381"/>
      <c r="K123" s="381" t="str">
        <f t="shared" si="23"/>
        <v/>
      </c>
      <c r="L123" s="381"/>
      <c r="M123" s="381"/>
      <c r="N123" s="381"/>
      <c r="O123" s="381"/>
      <c r="P123" s="381"/>
      <c r="Q123" s="381"/>
      <c r="R123" s="143" t="str">
        <f t="shared" si="24"/>
        <v/>
      </c>
      <c r="S123" s="142" t="str">
        <f t="shared" si="25"/>
        <v/>
      </c>
      <c r="T123" s="349" t="str">
        <f t="shared" si="26"/>
        <v/>
      </c>
      <c r="U123" s="350"/>
      <c r="V123" s="351"/>
      <c r="W123" s="176"/>
      <c r="X123" s="352" t="str">
        <f t="shared" si="20"/>
        <v/>
      </c>
      <c r="Y123" s="350"/>
      <c r="Z123" s="353"/>
      <c r="AA123" s="4"/>
    </row>
    <row r="124" spans="1:27" ht="15" customHeight="1">
      <c r="A124" s="43">
        <v>115</v>
      </c>
      <c r="B124" s="141">
        <v>115</v>
      </c>
      <c r="C124" s="142" t="str">
        <f t="shared" si="21"/>
        <v/>
      </c>
      <c r="D124" s="381" t="str">
        <f t="shared" si="22"/>
        <v/>
      </c>
      <c r="E124" s="381"/>
      <c r="F124" s="381"/>
      <c r="G124" s="381"/>
      <c r="H124" s="381"/>
      <c r="I124" s="381"/>
      <c r="J124" s="381"/>
      <c r="K124" s="381" t="str">
        <f t="shared" si="23"/>
        <v/>
      </c>
      <c r="L124" s="381"/>
      <c r="M124" s="381"/>
      <c r="N124" s="381"/>
      <c r="O124" s="381"/>
      <c r="P124" s="381"/>
      <c r="Q124" s="381"/>
      <c r="R124" s="143" t="str">
        <f t="shared" si="24"/>
        <v/>
      </c>
      <c r="S124" s="142" t="str">
        <f t="shared" si="25"/>
        <v/>
      </c>
      <c r="T124" s="349" t="str">
        <f t="shared" si="26"/>
        <v/>
      </c>
      <c r="U124" s="350"/>
      <c r="V124" s="351"/>
      <c r="W124" s="176"/>
      <c r="X124" s="352" t="str">
        <f t="shared" si="20"/>
        <v/>
      </c>
      <c r="Y124" s="350"/>
      <c r="Z124" s="353"/>
      <c r="AA124" s="4"/>
    </row>
    <row r="125" spans="1:27" ht="15" customHeight="1">
      <c r="A125" s="43">
        <v>116</v>
      </c>
      <c r="B125" s="141">
        <v>116</v>
      </c>
      <c r="C125" s="142" t="str">
        <f t="shared" si="21"/>
        <v/>
      </c>
      <c r="D125" s="381" t="str">
        <f t="shared" si="22"/>
        <v/>
      </c>
      <c r="E125" s="381"/>
      <c r="F125" s="381"/>
      <c r="G125" s="381"/>
      <c r="H125" s="381"/>
      <c r="I125" s="381"/>
      <c r="J125" s="381"/>
      <c r="K125" s="381" t="str">
        <f t="shared" si="23"/>
        <v/>
      </c>
      <c r="L125" s="381"/>
      <c r="M125" s="381"/>
      <c r="N125" s="381"/>
      <c r="O125" s="381"/>
      <c r="P125" s="381"/>
      <c r="Q125" s="381"/>
      <c r="R125" s="143" t="str">
        <f t="shared" si="24"/>
        <v/>
      </c>
      <c r="S125" s="142" t="str">
        <f t="shared" si="25"/>
        <v/>
      </c>
      <c r="T125" s="349" t="str">
        <f t="shared" si="26"/>
        <v/>
      </c>
      <c r="U125" s="350"/>
      <c r="V125" s="351"/>
      <c r="W125" s="176"/>
      <c r="X125" s="352" t="str">
        <f t="shared" si="20"/>
        <v/>
      </c>
      <c r="Y125" s="350"/>
      <c r="Z125" s="353"/>
      <c r="AA125" s="4"/>
    </row>
    <row r="126" spans="1:27" ht="15" customHeight="1">
      <c r="A126" s="43">
        <v>117</v>
      </c>
      <c r="B126" s="141">
        <v>117</v>
      </c>
      <c r="C126" s="142" t="str">
        <f t="shared" si="21"/>
        <v/>
      </c>
      <c r="D126" s="381" t="str">
        <f t="shared" si="22"/>
        <v/>
      </c>
      <c r="E126" s="381"/>
      <c r="F126" s="381"/>
      <c r="G126" s="381"/>
      <c r="H126" s="381"/>
      <c r="I126" s="381"/>
      <c r="J126" s="381"/>
      <c r="K126" s="381" t="str">
        <f t="shared" si="23"/>
        <v/>
      </c>
      <c r="L126" s="381"/>
      <c r="M126" s="381"/>
      <c r="N126" s="381"/>
      <c r="O126" s="381"/>
      <c r="P126" s="381"/>
      <c r="Q126" s="381"/>
      <c r="R126" s="143" t="str">
        <f t="shared" si="24"/>
        <v/>
      </c>
      <c r="S126" s="142" t="str">
        <f t="shared" si="25"/>
        <v/>
      </c>
      <c r="T126" s="349" t="str">
        <f t="shared" si="26"/>
        <v/>
      </c>
      <c r="U126" s="350"/>
      <c r="V126" s="351"/>
      <c r="W126" s="176"/>
      <c r="X126" s="352" t="str">
        <f t="shared" si="20"/>
        <v/>
      </c>
      <c r="Y126" s="350"/>
      <c r="Z126" s="353"/>
      <c r="AA126" s="4"/>
    </row>
    <row r="127" spans="1:27" ht="15" customHeight="1">
      <c r="A127" s="43">
        <v>118</v>
      </c>
      <c r="B127" s="141">
        <v>118</v>
      </c>
      <c r="C127" s="142" t="str">
        <f t="shared" si="21"/>
        <v/>
      </c>
      <c r="D127" s="381" t="str">
        <f t="shared" si="22"/>
        <v/>
      </c>
      <c r="E127" s="381"/>
      <c r="F127" s="381"/>
      <c r="G127" s="381"/>
      <c r="H127" s="381"/>
      <c r="I127" s="381"/>
      <c r="J127" s="381"/>
      <c r="K127" s="381" t="str">
        <f t="shared" si="23"/>
        <v/>
      </c>
      <c r="L127" s="381"/>
      <c r="M127" s="381"/>
      <c r="N127" s="381"/>
      <c r="O127" s="381"/>
      <c r="P127" s="381"/>
      <c r="Q127" s="381"/>
      <c r="R127" s="143" t="str">
        <f t="shared" si="24"/>
        <v/>
      </c>
      <c r="S127" s="142" t="str">
        <f t="shared" si="25"/>
        <v/>
      </c>
      <c r="T127" s="349" t="str">
        <f t="shared" si="26"/>
        <v/>
      </c>
      <c r="U127" s="350"/>
      <c r="V127" s="351"/>
      <c r="W127" s="176"/>
      <c r="X127" s="352" t="str">
        <f t="shared" si="20"/>
        <v/>
      </c>
      <c r="Y127" s="350"/>
      <c r="Z127" s="353"/>
      <c r="AA127" s="4"/>
    </row>
    <row r="128" spans="1:27" ht="15" customHeight="1">
      <c r="A128" s="43">
        <v>119</v>
      </c>
      <c r="B128" s="141">
        <v>119</v>
      </c>
      <c r="C128" s="142" t="str">
        <f t="shared" si="21"/>
        <v/>
      </c>
      <c r="D128" s="381" t="str">
        <f t="shared" si="22"/>
        <v/>
      </c>
      <c r="E128" s="381"/>
      <c r="F128" s="381"/>
      <c r="G128" s="381"/>
      <c r="H128" s="381"/>
      <c r="I128" s="381"/>
      <c r="J128" s="381"/>
      <c r="K128" s="381" t="str">
        <f t="shared" si="23"/>
        <v/>
      </c>
      <c r="L128" s="381"/>
      <c r="M128" s="381"/>
      <c r="N128" s="381"/>
      <c r="O128" s="381"/>
      <c r="P128" s="381"/>
      <c r="Q128" s="381"/>
      <c r="R128" s="143" t="str">
        <f t="shared" si="24"/>
        <v/>
      </c>
      <c r="S128" s="142" t="str">
        <f t="shared" si="25"/>
        <v/>
      </c>
      <c r="T128" s="349" t="str">
        <f t="shared" si="26"/>
        <v/>
      </c>
      <c r="U128" s="350"/>
      <c r="V128" s="351"/>
      <c r="W128" s="176"/>
      <c r="X128" s="352" t="str">
        <f t="shared" si="20"/>
        <v/>
      </c>
      <c r="Y128" s="350"/>
      <c r="Z128" s="353"/>
      <c r="AA128" s="4"/>
    </row>
    <row r="129" spans="1:27" ht="15" customHeight="1">
      <c r="A129" s="43">
        <v>120</v>
      </c>
      <c r="B129" s="141">
        <v>120</v>
      </c>
      <c r="C129" s="142" t="str">
        <f t="shared" si="21"/>
        <v/>
      </c>
      <c r="D129" s="381" t="str">
        <f t="shared" si="22"/>
        <v/>
      </c>
      <c r="E129" s="381"/>
      <c r="F129" s="381"/>
      <c r="G129" s="381"/>
      <c r="H129" s="381"/>
      <c r="I129" s="381"/>
      <c r="J129" s="381"/>
      <c r="K129" s="381" t="str">
        <f t="shared" si="23"/>
        <v/>
      </c>
      <c r="L129" s="381"/>
      <c r="M129" s="381"/>
      <c r="N129" s="381"/>
      <c r="O129" s="381"/>
      <c r="P129" s="381"/>
      <c r="Q129" s="381"/>
      <c r="R129" s="143" t="str">
        <f t="shared" si="24"/>
        <v/>
      </c>
      <c r="S129" s="142" t="str">
        <f t="shared" si="25"/>
        <v/>
      </c>
      <c r="T129" s="349" t="str">
        <f t="shared" si="26"/>
        <v/>
      </c>
      <c r="U129" s="350"/>
      <c r="V129" s="351"/>
      <c r="W129" s="176"/>
      <c r="X129" s="352" t="str">
        <f t="shared" si="20"/>
        <v/>
      </c>
      <c r="Y129" s="350"/>
      <c r="Z129" s="353"/>
      <c r="AA129" s="4"/>
    </row>
    <row r="130" spans="1:27" ht="15" customHeight="1">
      <c r="A130" s="43">
        <v>121</v>
      </c>
      <c r="B130" s="141">
        <v>121</v>
      </c>
      <c r="C130" s="142" t="str">
        <f t="shared" si="21"/>
        <v/>
      </c>
      <c r="D130" s="381" t="str">
        <f t="shared" si="22"/>
        <v/>
      </c>
      <c r="E130" s="381"/>
      <c r="F130" s="381"/>
      <c r="G130" s="381"/>
      <c r="H130" s="381"/>
      <c r="I130" s="381"/>
      <c r="J130" s="381"/>
      <c r="K130" s="381" t="str">
        <f t="shared" si="23"/>
        <v/>
      </c>
      <c r="L130" s="381"/>
      <c r="M130" s="381"/>
      <c r="N130" s="381"/>
      <c r="O130" s="381"/>
      <c r="P130" s="381"/>
      <c r="Q130" s="381"/>
      <c r="R130" s="143" t="str">
        <f t="shared" si="24"/>
        <v/>
      </c>
      <c r="S130" s="142" t="str">
        <f t="shared" si="25"/>
        <v/>
      </c>
      <c r="T130" s="349" t="str">
        <f t="shared" si="26"/>
        <v/>
      </c>
      <c r="U130" s="350"/>
      <c r="V130" s="351"/>
      <c r="W130" s="176"/>
      <c r="X130" s="352" t="str">
        <f t="shared" si="20"/>
        <v/>
      </c>
      <c r="Y130" s="350"/>
      <c r="Z130" s="353"/>
      <c r="AA130" s="4"/>
    </row>
    <row r="131" spans="1:27" ht="15" customHeight="1">
      <c r="A131" s="43">
        <v>122</v>
      </c>
      <c r="B131" s="141">
        <v>122</v>
      </c>
      <c r="C131" s="142" t="str">
        <f t="shared" si="21"/>
        <v/>
      </c>
      <c r="D131" s="381" t="str">
        <f t="shared" si="22"/>
        <v/>
      </c>
      <c r="E131" s="381"/>
      <c r="F131" s="381"/>
      <c r="G131" s="381"/>
      <c r="H131" s="381"/>
      <c r="I131" s="381"/>
      <c r="J131" s="381"/>
      <c r="K131" s="381" t="str">
        <f t="shared" si="23"/>
        <v/>
      </c>
      <c r="L131" s="381"/>
      <c r="M131" s="381"/>
      <c r="N131" s="381"/>
      <c r="O131" s="381"/>
      <c r="P131" s="381"/>
      <c r="Q131" s="381"/>
      <c r="R131" s="143" t="str">
        <f t="shared" si="24"/>
        <v/>
      </c>
      <c r="S131" s="142" t="str">
        <f t="shared" si="25"/>
        <v/>
      </c>
      <c r="T131" s="349" t="str">
        <f t="shared" si="26"/>
        <v/>
      </c>
      <c r="U131" s="350"/>
      <c r="V131" s="351"/>
      <c r="W131" s="176"/>
      <c r="X131" s="352" t="str">
        <f t="shared" si="20"/>
        <v/>
      </c>
      <c r="Y131" s="350"/>
      <c r="Z131" s="353"/>
      <c r="AA131" s="4"/>
    </row>
    <row r="132" spans="1:27" ht="15" customHeight="1">
      <c r="A132" s="43">
        <v>123</v>
      </c>
      <c r="B132" s="141">
        <v>123</v>
      </c>
      <c r="C132" s="142" t="str">
        <f t="shared" si="21"/>
        <v/>
      </c>
      <c r="D132" s="381" t="str">
        <f t="shared" si="22"/>
        <v/>
      </c>
      <c r="E132" s="381"/>
      <c r="F132" s="381"/>
      <c r="G132" s="381"/>
      <c r="H132" s="381"/>
      <c r="I132" s="381"/>
      <c r="J132" s="381"/>
      <c r="K132" s="381" t="str">
        <f t="shared" si="23"/>
        <v/>
      </c>
      <c r="L132" s="381"/>
      <c r="M132" s="381"/>
      <c r="N132" s="381"/>
      <c r="O132" s="381"/>
      <c r="P132" s="381"/>
      <c r="Q132" s="381"/>
      <c r="R132" s="143" t="str">
        <f t="shared" si="24"/>
        <v/>
      </c>
      <c r="S132" s="142" t="str">
        <f t="shared" si="25"/>
        <v/>
      </c>
      <c r="T132" s="349" t="str">
        <f t="shared" si="26"/>
        <v/>
      </c>
      <c r="U132" s="350"/>
      <c r="V132" s="351"/>
      <c r="W132" s="176"/>
      <c r="X132" s="352" t="str">
        <f t="shared" si="20"/>
        <v/>
      </c>
      <c r="Y132" s="350"/>
      <c r="Z132" s="353"/>
      <c r="AA132" s="4"/>
    </row>
    <row r="133" spans="1:27" ht="15" customHeight="1">
      <c r="A133" s="43">
        <v>124</v>
      </c>
      <c r="B133" s="141">
        <v>124</v>
      </c>
      <c r="C133" s="142" t="str">
        <f t="shared" si="21"/>
        <v/>
      </c>
      <c r="D133" s="381" t="str">
        <f t="shared" si="22"/>
        <v/>
      </c>
      <c r="E133" s="381"/>
      <c r="F133" s="381"/>
      <c r="G133" s="381"/>
      <c r="H133" s="381"/>
      <c r="I133" s="381"/>
      <c r="J133" s="381"/>
      <c r="K133" s="381" t="str">
        <f t="shared" si="23"/>
        <v/>
      </c>
      <c r="L133" s="381"/>
      <c r="M133" s="381"/>
      <c r="N133" s="381"/>
      <c r="O133" s="381"/>
      <c r="P133" s="381"/>
      <c r="Q133" s="381"/>
      <c r="R133" s="143" t="str">
        <f t="shared" si="24"/>
        <v/>
      </c>
      <c r="S133" s="142" t="str">
        <f t="shared" si="25"/>
        <v/>
      </c>
      <c r="T133" s="349" t="str">
        <f t="shared" si="26"/>
        <v/>
      </c>
      <c r="U133" s="350"/>
      <c r="V133" s="351"/>
      <c r="W133" s="176"/>
      <c r="X133" s="352" t="str">
        <f t="shared" si="20"/>
        <v/>
      </c>
      <c r="Y133" s="350"/>
      <c r="Z133" s="353"/>
      <c r="AA133" s="4"/>
    </row>
    <row r="134" spans="1:27" ht="15" customHeight="1">
      <c r="A134" s="43">
        <v>125</v>
      </c>
      <c r="B134" s="141">
        <v>125</v>
      </c>
      <c r="C134" s="142" t="str">
        <f t="shared" si="21"/>
        <v/>
      </c>
      <c r="D134" s="381" t="str">
        <f t="shared" si="22"/>
        <v/>
      </c>
      <c r="E134" s="381"/>
      <c r="F134" s="381"/>
      <c r="G134" s="381"/>
      <c r="H134" s="381"/>
      <c r="I134" s="381"/>
      <c r="J134" s="381"/>
      <c r="K134" s="381" t="str">
        <f t="shared" si="23"/>
        <v/>
      </c>
      <c r="L134" s="381"/>
      <c r="M134" s="381"/>
      <c r="N134" s="381"/>
      <c r="O134" s="381"/>
      <c r="P134" s="381"/>
      <c r="Q134" s="381"/>
      <c r="R134" s="143" t="str">
        <f t="shared" si="24"/>
        <v/>
      </c>
      <c r="S134" s="142" t="str">
        <f t="shared" si="25"/>
        <v/>
      </c>
      <c r="T134" s="349" t="str">
        <f t="shared" si="26"/>
        <v/>
      </c>
      <c r="U134" s="350"/>
      <c r="V134" s="351"/>
      <c r="W134" s="176"/>
      <c r="X134" s="352" t="str">
        <f t="shared" si="20"/>
        <v/>
      </c>
      <c r="Y134" s="350"/>
      <c r="Z134" s="353"/>
      <c r="AA134" s="4"/>
    </row>
    <row r="135" spans="1:27" ht="15" customHeight="1">
      <c r="A135" s="43">
        <v>126</v>
      </c>
      <c r="B135" s="141">
        <v>126</v>
      </c>
      <c r="C135" s="142" t="str">
        <f t="shared" si="21"/>
        <v/>
      </c>
      <c r="D135" s="381" t="str">
        <f t="shared" si="22"/>
        <v/>
      </c>
      <c r="E135" s="381"/>
      <c r="F135" s="381"/>
      <c r="G135" s="381"/>
      <c r="H135" s="381"/>
      <c r="I135" s="381"/>
      <c r="J135" s="381"/>
      <c r="K135" s="381" t="str">
        <f t="shared" si="23"/>
        <v/>
      </c>
      <c r="L135" s="381"/>
      <c r="M135" s="381"/>
      <c r="N135" s="381"/>
      <c r="O135" s="381"/>
      <c r="P135" s="381"/>
      <c r="Q135" s="381"/>
      <c r="R135" s="143" t="str">
        <f t="shared" si="24"/>
        <v/>
      </c>
      <c r="S135" s="142" t="str">
        <f t="shared" si="25"/>
        <v/>
      </c>
      <c r="T135" s="349" t="str">
        <f t="shared" si="26"/>
        <v/>
      </c>
      <c r="U135" s="350"/>
      <c r="V135" s="351"/>
      <c r="W135" s="176"/>
      <c r="X135" s="352" t="str">
        <f t="shared" si="20"/>
        <v/>
      </c>
      <c r="Y135" s="350"/>
      <c r="Z135" s="353"/>
      <c r="AA135" s="4"/>
    </row>
    <row r="136" spans="1:27" ht="15" customHeight="1">
      <c r="A136" s="43">
        <v>127</v>
      </c>
      <c r="B136" s="141">
        <v>127</v>
      </c>
      <c r="C136" s="142" t="str">
        <f t="shared" si="21"/>
        <v/>
      </c>
      <c r="D136" s="381" t="str">
        <f t="shared" si="22"/>
        <v/>
      </c>
      <c r="E136" s="381"/>
      <c r="F136" s="381"/>
      <c r="G136" s="381"/>
      <c r="H136" s="381"/>
      <c r="I136" s="381"/>
      <c r="J136" s="381"/>
      <c r="K136" s="381" t="str">
        <f t="shared" si="23"/>
        <v/>
      </c>
      <c r="L136" s="381"/>
      <c r="M136" s="381"/>
      <c r="N136" s="381"/>
      <c r="O136" s="381"/>
      <c r="P136" s="381"/>
      <c r="Q136" s="381"/>
      <c r="R136" s="143" t="str">
        <f t="shared" si="24"/>
        <v/>
      </c>
      <c r="S136" s="142" t="str">
        <f t="shared" si="25"/>
        <v/>
      </c>
      <c r="T136" s="349" t="str">
        <f t="shared" si="26"/>
        <v/>
      </c>
      <c r="U136" s="350"/>
      <c r="V136" s="351"/>
      <c r="W136" s="176"/>
      <c r="X136" s="352" t="str">
        <f t="shared" si="20"/>
        <v/>
      </c>
      <c r="Y136" s="350"/>
      <c r="Z136" s="353"/>
      <c r="AA136" s="4"/>
    </row>
    <row r="137" spans="1:27" ht="15" customHeight="1">
      <c r="A137" s="43">
        <v>128</v>
      </c>
      <c r="B137" s="141">
        <v>128</v>
      </c>
      <c r="C137" s="142" t="str">
        <f t="shared" si="21"/>
        <v/>
      </c>
      <c r="D137" s="381" t="str">
        <f t="shared" si="22"/>
        <v/>
      </c>
      <c r="E137" s="381"/>
      <c r="F137" s="381"/>
      <c r="G137" s="381"/>
      <c r="H137" s="381"/>
      <c r="I137" s="381"/>
      <c r="J137" s="381"/>
      <c r="K137" s="381" t="str">
        <f t="shared" si="23"/>
        <v/>
      </c>
      <c r="L137" s="381"/>
      <c r="M137" s="381"/>
      <c r="N137" s="381"/>
      <c r="O137" s="381"/>
      <c r="P137" s="381"/>
      <c r="Q137" s="381"/>
      <c r="R137" s="143" t="str">
        <f t="shared" si="24"/>
        <v/>
      </c>
      <c r="S137" s="142" t="str">
        <f t="shared" si="25"/>
        <v/>
      </c>
      <c r="T137" s="349" t="str">
        <f t="shared" si="26"/>
        <v/>
      </c>
      <c r="U137" s="350"/>
      <c r="V137" s="351"/>
      <c r="W137" s="176"/>
      <c r="X137" s="352" t="str">
        <f t="shared" si="20"/>
        <v/>
      </c>
      <c r="Y137" s="350"/>
      <c r="Z137" s="353"/>
      <c r="AA137" s="4"/>
    </row>
    <row r="138" spans="1:27" ht="15" customHeight="1">
      <c r="A138" s="43">
        <v>129</v>
      </c>
      <c r="B138" s="141">
        <v>129</v>
      </c>
      <c r="C138" s="142" t="str">
        <f t="shared" ref="C138:C169" si="27">IF(IF(ISNA(VLOOKUP(A138,StartListHC,2,FALSE)),"",VLOOKUP(A138,StartListHC,2,FALSE))=0,"",IF(ISNA(VLOOKUP(A138,StartListHC,2,FALSE)),"",VLOOKUP(A138,StartListHC,2,FALSE)))</f>
        <v/>
      </c>
      <c r="D138" s="381" t="str">
        <f t="shared" ref="D138:D169" si="28">IF(IF(ISNA(VLOOKUP(A138,StartListHC,3,FALSE)),"",VLOOKUP(A138,StartListHC,3,FALSE))=0,"",IF(ISNA(VLOOKUP(A138,StartListHC,3,FALSE)),"",VLOOKUP(A138,StartListHC,3,FALSE)))</f>
        <v/>
      </c>
      <c r="E138" s="381"/>
      <c r="F138" s="381"/>
      <c r="G138" s="381"/>
      <c r="H138" s="381"/>
      <c r="I138" s="381"/>
      <c r="J138" s="381"/>
      <c r="K138" s="381" t="str">
        <f t="shared" ref="K138:K169" si="29">IF(IF(ISNA(VLOOKUP(A138,StartListHC,4,FALSE)),"",VLOOKUP(A138,StartListHC,4,FALSE))=0,"",IF(ISNA(VLOOKUP(A138,StartListHC,4,FALSE)),"",VLOOKUP(A138,StartListHC,4,FALSE)))</f>
        <v/>
      </c>
      <c r="L138" s="381"/>
      <c r="M138" s="381"/>
      <c r="N138" s="381"/>
      <c r="O138" s="381"/>
      <c r="P138" s="381"/>
      <c r="Q138" s="381"/>
      <c r="R138" s="143" t="str">
        <f t="shared" ref="R138:R169" si="30">IF(IF(ISNA(VLOOKUP(A138,StartListHC,6,FALSE)),"",VLOOKUP(A138,StartListHC,6,FALSE))=0,"",IF(ISNA(VLOOKUP(A138,StartListHC,6,FALSE)),"",VLOOKUP(A138,StartListHC,6,FALSE)))</f>
        <v/>
      </c>
      <c r="S138" s="142" t="str">
        <f t="shared" ref="S138:S169" si="31">IF(IF(ISNA(VLOOKUP(A138,StartList,6,FALSE)),"",VLOOKUP(A138,StartList,6,FALSE))=0,"",IF(ISNA(VLOOKUP(A138,StartList,6,FALSE)),"",VLOOKUP(A138,StartList,6,FALSE)))</f>
        <v/>
      </c>
      <c r="T138" s="349" t="str">
        <f t="shared" ref="T138:T169" si="32">IF(IF(ISNA(VLOOKUP(A138,StartListHC,9,FALSE)),"",VLOOKUP(A138,StartListHC,9,FALSE))=0,"",IF(ISNA(VLOOKUP(A138,StartListHC,9,FALSE)),"",VLOOKUP(A138,StartListHC,9,FALSE)))</f>
        <v/>
      </c>
      <c r="U138" s="350"/>
      <c r="V138" s="351"/>
      <c r="W138" s="176"/>
      <c r="X138" s="352" t="str">
        <f t="shared" si="20"/>
        <v/>
      </c>
      <c r="Y138" s="350"/>
      <c r="Z138" s="353"/>
      <c r="AA138" s="4"/>
    </row>
    <row r="139" spans="1:27" ht="15" customHeight="1">
      <c r="A139" s="43">
        <v>130</v>
      </c>
      <c r="B139" s="141">
        <v>130</v>
      </c>
      <c r="C139" s="142" t="str">
        <f t="shared" si="27"/>
        <v/>
      </c>
      <c r="D139" s="381" t="str">
        <f t="shared" si="28"/>
        <v/>
      </c>
      <c r="E139" s="381"/>
      <c r="F139" s="381"/>
      <c r="G139" s="381"/>
      <c r="H139" s="381"/>
      <c r="I139" s="381"/>
      <c r="J139" s="381"/>
      <c r="K139" s="381" t="str">
        <f t="shared" si="29"/>
        <v/>
      </c>
      <c r="L139" s="381"/>
      <c r="M139" s="381"/>
      <c r="N139" s="381"/>
      <c r="O139" s="381"/>
      <c r="P139" s="381"/>
      <c r="Q139" s="381"/>
      <c r="R139" s="143" t="str">
        <f t="shared" si="30"/>
        <v/>
      </c>
      <c r="S139" s="142" t="str">
        <f t="shared" si="31"/>
        <v/>
      </c>
      <c r="T139" s="349" t="str">
        <f t="shared" si="32"/>
        <v/>
      </c>
      <c r="U139" s="350"/>
      <c r="V139" s="351"/>
      <c r="W139" s="176"/>
      <c r="X139" s="352" t="str">
        <f t="shared" ref="X139:X174" si="33">IF(IF(ISNA(VLOOKUP(A139,StartListHC,12,FALSE)),"",VLOOKUP(A139,StartListHC,12,FALSE))=0,"",IF(ISNA(VLOOKUP(A139,StartListHC,12,FALSE)),"",VLOOKUP(A139,StartListHC,12,FALSE)))</f>
        <v/>
      </c>
      <c r="Y139" s="350"/>
      <c r="Z139" s="353"/>
      <c r="AA139" s="4"/>
    </row>
    <row r="140" spans="1:27" ht="15" customHeight="1">
      <c r="A140" s="43">
        <v>131</v>
      </c>
      <c r="B140" s="141">
        <v>131</v>
      </c>
      <c r="C140" s="142" t="str">
        <f t="shared" si="27"/>
        <v/>
      </c>
      <c r="D140" s="381" t="str">
        <f t="shared" si="28"/>
        <v/>
      </c>
      <c r="E140" s="381"/>
      <c r="F140" s="381"/>
      <c r="G140" s="381"/>
      <c r="H140" s="381"/>
      <c r="I140" s="381"/>
      <c r="J140" s="381"/>
      <c r="K140" s="381" t="str">
        <f t="shared" si="29"/>
        <v/>
      </c>
      <c r="L140" s="381"/>
      <c r="M140" s="381"/>
      <c r="N140" s="381"/>
      <c r="O140" s="381"/>
      <c r="P140" s="381"/>
      <c r="Q140" s="381"/>
      <c r="R140" s="143" t="str">
        <f t="shared" si="30"/>
        <v/>
      </c>
      <c r="S140" s="142" t="str">
        <f t="shared" si="31"/>
        <v/>
      </c>
      <c r="T140" s="349" t="str">
        <f t="shared" si="32"/>
        <v/>
      </c>
      <c r="U140" s="350"/>
      <c r="V140" s="351"/>
      <c r="W140" s="176"/>
      <c r="X140" s="352" t="str">
        <f t="shared" si="33"/>
        <v/>
      </c>
      <c r="Y140" s="350"/>
      <c r="Z140" s="353"/>
      <c r="AA140" s="4"/>
    </row>
    <row r="141" spans="1:27" ht="15" customHeight="1">
      <c r="A141" s="43">
        <v>132</v>
      </c>
      <c r="B141" s="141">
        <v>132</v>
      </c>
      <c r="C141" s="142" t="str">
        <f t="shared" si="27"/>
        <v/>
      </c>
      <c r="D141" s="381" t="str">
        <f t="shared" si="28"/>
        <v/>
      </c>
      <c r="E141" s="381"/>
      <c r="F141" s="381"/>
      <c r="G141" s="381"/>
      <c r="H141" s="381"/>
      <c r="I141" s="381"/>
      <c r="J141" s="381"/>
      <c r="K141" s="381" t="str">
        <f t="shared" si="29"/>
        <v/>
      </c>
      <c r="L141" s="381"/>
      <c r="M141" s="381"/>
      <c r="N141" s="381"/>
      <c r="O141" s="381"/>
      <c r="P141" s="381"/>
      <c r="Q141" s="381"/>
      <c r="R141" s="143" t="str">
        <f t="shared" si="30"/>
        <v/>
      </c>
      <c r="S141" s="142" t="str">
        <f t="shared" si="31"/>
        <v/>
      </c>
      <c r="T141" s="349" t="str">
        <f t="shared" si="32"/>
        <v/>
      </c>
      <c r="U141" s="350"/>
      <c r="V141" s="351"/>
      <c r="W141" s="176"/>
      <c r="X141" s="352" t="str">
        <f t="shared" si="33"/>
        <v/>
      </c>
      <c r="Y141" s="350"/>
      <c r="Z141" s="353"/>
      <c r="AA141" s="4"/>
    </row>
    <row r="142" spans="1:27" ht="15" customHeight="1">
      <c r="A142" s="43">
        <v>133</v>
      </c>
      <c r="B142" s="141">
        <v>133</v>
      </c>
      <c r="C142" s="142" t="str">
        <f t="shared" si="27"/>
        <v/>
      </c>
      <c r="D142" s="381" t="str">
        <f t="shared" si="28"/>
        <v/>
      </c>
      <c r="E142" s="381"/>
      <c r="F142" s="381"/>
      <c r="G142" s="381"/>
      <c r="H142" s="381"/>
      <c r="I142" s="381"/>
      <c r="J142" s="381"/>
      <c r="K142" s="381" t="str">
        <f t="shared" si="29"/>
        <v/>
      </c>
      <c r="L142" s="381"/>
      <c r="M142" s="381"/>
      <c r="N142" s="381"/>
      <c r="O142" s="381"/>
      <c r="P142" s="381"/>
      <c r="Q142" s="381"/>
      <c r="R142" s="143" t="str">
        <f t="shared" si="30"/>
        <v/>
      </c>
      <c r="S142" s="142" t="str">
        <f t="shared" si="31"/>
        <v/>
      </c>
      <c r="T142" s="349" t="str">
        <f t="shared" si="32"/>
        <v/>
      </c>
      <c r="U142" s="350"/>
      <c r="V142" s="351"/>
      <c r="W142" s="176"/>
      <c r="X142" s="352" t="str">
        <f t="shared" si="33"/>
        <v/>
      </c>
      <c r="Y142" s="350"/>
      <c r="Z142" s="353"/>
      <c r="AA142" s="4"/>
    </row>
    <row r="143" spans="1:27" ht="15" customHeight="1">
      <c r="A143" s="43">
        <v>134</v>
      </c>
      <c r="B143" s="141">
        <v>134</v>
      </c>
      <c r="C143" s="142" t="str">
        <f t="shared" si="27"/>
        <v/>
      </c>
      <c r="D143" s="381" t="str">
        <f t="shared" si="28"/>
        <v/>
      </c>
      <c r="E143" s="381"/>
      <c r="F143" s="381"/>
      <c r="G143" s="381"/>
      <c r="H143" s="381"/>
      <c r="I143" s="381"/>
      <c r="J143" s="381"/>
      <c r="K143" s="381" t="str">
        <f t="shared" si="29"/>
        <v/>
      </c>
      <c r="L143" s="381"/>
      <c r="M143" s="381"/>
      <c r="N143" s="381"/>
      <c r="O143" s="381"/>
      <c r="P143" s="381"/>
      <c r="Q143" s="381"/>
      <c r="R143" s="143" t="str">
        <f t="shared" si="30"/>
        <v/>
      </c>
      <c r="S143" s="142" t="str">
        <f t="shared" si="31"/>
        <v/>
      </c>
      <c r="T143" s="349" t="str">
        <f t="shared" si="32"/>
        <v/>
      </c>
      <c r="U143" s="350"/>
      <c r="V143" s="351"/>
      <c r="W143" s="176"/>
      <c r="X143" s="352" t="str">
        <f t="shared" si="33"/>
        <v/>
      </c>
      <c r="Y143" s="350"/>
      <c r="Z143" s="353"/>
      <c r="AA143" s="4"/>
    </row>
    <row r="144" spans="1:27" ht="15" customHeight="1">
      <c r="A144" s="43">
        <v>135</v>
      </c>
      <c r="B144" s="141">
        <v>135</v>
      </c>
      <c r="C144" s="142" t="str">
        <f t="shared" si="27"/>
        <v/>
      </c>
      <c r="D144" s="381" t="str">
        <f t="shared" si="28"/>
        <v/>
      </c>
      <c r="E144" s="381"/>
      <c r="F144" s="381"/>
      <c r="G144" s="381"/>
      <c r="H144" s="381"/>
      <c r="I144" s="381"/>
      <c r="J144" s="381"/>
      <c r="K144" s="381" t="str">
        <f t="shared" si="29"/>
        <v/>
      </c>
      <c r="L144" s="381"/>
      <c r="M144" s="381"/>
      <c r="N144" s="381"/>
      <c r="O144" s="381"/>
      <c r="P144" s="381"/>
      <c r="Q144" s="381"/>
      <c r="R144" s="143" t="str">
        <f t="shared" si="30"/>
        <v/>
      </c>
      <c r="S144" s="142" t="str">
        <f t="shared" si="31"/>
        <v/>
      </c>
      <c r="T144" s="349" t="str">
        <f t="shared" si="32"/>
        <v/>
      </c>
      <c r="U144" s="350"/>
      <c r="V144" s="351"/>
      <c r="W144" s="176"/>
      <c r="X144" s="352" t="str">
        <f t="shared" si="33"/>
        <v/>
      </c>
      <c r="Y144" s="350"/>
      <c r="Z144" s="353"/>
      <c r="AA144" s="4"/>
    </row>
    <row r="145" spans="1:27" ht="15" customHeight="1">
      <c r="A145" s="43">
        <v>136</v>
      </c>
      <c r="B145" s="141">
        <v>136</v>
      </c>
      <c r="C145" s="142" t="str">
        <f t="shared" si="27"/>
        <v/>
      </c>
      <c r="D145" s="381" t="str">
        <f t="shared" si="28"/>
        <v/>
      </c>
      <c r="E145" s="381"/>
      <c r="F145" s="381"/>
      <c r="G145" s="381"/>
      <c r="H145" s="381"/>
      <c r="I145" s="381"/>
      <c r="J145" s="381"/>
      <c r="K145" s="381" t="str">
        <f t="shared" si="29"/>
        <v/>
      </c>
      <c r="L145" s="381"/>
      <c r="M145" s="381"/>
      <c r="N145" s="381"/>
      <c r="O145" s="381"/>
      <c r="P145" s="381"/>
      <c r="Q145" s="381"/>
      <c r="R145" s="143" t="str">
        <f t="shared" si="30"/>
        <v/>
      </c>
      <c r="S145" s="142" t="str">
        <f t="shared" si="31"/>
        <v/>
      </c>
      <c r="T145" s="349" t="str">
        <f t="shared" si="32"/>
        <v/>
      </c>
      <c r="U145" s="350"/>
      <c r="V145" s="351"/>
      <c r="W145" s="176"/>
      <c r="X145" s="352" t="str">
        <f t="shared" si="33"/>
        <v/>
      </c>
      <c r="Y145" s="350"/>
      <c r="Z145" s="353"/>
      <c r="AA145" s="4"/>
    </row>
    <row r="146" spans="1:27" ht="15" customHeight="1">
      <c r="A146" s="43">
        <v>137</v>
      </c>
      <c r="B146" s="141">
        <v>137</v>
      </c>
      <c r="C146" s="142" t="str">
        <f t="shared" si="27"/>
        <v/>
      </c>
      <c r="D146" s="381" t="str">
        <f t="shared" si="28"/>
        <v/>
      </c>
      <c r="E146" s="381"/>
      <c r="F146" s="381"/>
      <c r="G146" s="381"/>
      <c r="H146" s="381"/>
      <c r="I146" s="381"/>
      <c r="J146" s="381"/>
      <c r="K146" s="381" t="str">
        <f t="shared" si="29"/>
        <v/>
      </c>
      <c r="L146" s="381"/>
      <c r="M146" s="381"/>
      <c r="N146" s="381"/>
      <c r="O146" s="381"/>
      <c r="P146" s="381"/>
      <c r="Q146" s="381"/>
      <c r="R146" s="143" t="str">
        <f t="shared" si="30"/>
        <v/>
      </c>
      <c r="S146" s="142" t="str">
        <f t="shared" si="31"/>
        <v/>
      </c>
      <c r="T146" s="349" t="str">
        <f t="shared" si="32"/>
        <v/>
      </c>
      <c r="U146" s="350"/>
      <c r="V146" s="351"/>
      <c r="W146" s="176"/>
      <c r="X146" s="352" t="str">
        <f t="shared" si="33"/>
        <v/>
      </c>
      <c r="Y146" s="350"/>
      <c r="Z146" s="353"/>
      <c r="AA146" s="4"/>
    </row>
    <row r="147" spans="1:27" ht="15" customHeight="1">
      <c r="A147" s="43">
        <v>138</v>
      </c>
      <c r="B147" s="141">
        <v>138</v>
      </c>
      <c r="C147" s="142" t="str">
        <f t="shared" si="27"/>
        <v/>
      </c>
      <c r="D147" s="381" t="str">
        <f t="shared" si="28"/>
        <v/>
      </c>
      <c r="E147" s="381"/>
      <c r="F147" s="381"/>
      <c r="G147" s="381"/>
      <c r="H147" s="381"/>
      <c r="I147" s="381"/>
      <c r="J147" s="381"/>
      <c r="K147" s="381" t="str">
        <f t="shared" si="29"/>
        <v/>
      </c>
      <c r="L147" s="381"/>
      <c r="M147" s="381"/>
      <c r="N147" s="381"/>
      <c r="O147" s="381"/>
      <c r="P147" s="381"/>
      <c r="Q147" s="381"/>
      <c r="R147" s="143" t="str">
        <f t="shared" si="30"/>
        <v/>
      </c>
      <c r="S147" s="142" t="str">
        <f t="shared" si="31"/>
        <v/>
      </c>
      <c r="T147" s="349" t="str">
        <f t="shared" si="32"/>
        <v/>
      </c>
      <c r="U147" s="350"/>
      <c r="V147" s="351"/>
      <c r="W147" s="176"/>
      <c r="X147" s="352" t="str">
        <f t="shared" si="33"/>
        <v/>
      </c>
      <c r="Y147" s="350"/>
      <c r="Z147" s="353"/>
      <c r="AA147" s="4"/>
    </row>
    <row r="148" spans="1:27" ht="15" customHeight="1">
      <c r="A148" s="43">
        <v>139</v>
      </c>
      <c r="B148" s="141">
        <v>139</v>
      </c>
      <c r="C148" s="142" t="str">
        <f t="shared" si="27"/>
        <v/>
      </c>
      <c r="D148" s="381" t="str">
        <f t="shared" si="28"/>
        <v/>
      </c>
      <c r="E148" s="381"/>
      <c r="F148" s="381"/>
      <c r="G148" s="381"/>
      <c r="H148" s="381"/>
      <c r="I148" s="381"/>
      <c r="J148" s="381"/>
      <c r="K148" s="381" t="str">
        <f t="shared" si="29"/>
        <v/>
      </c>
      <c r="L148" s="381"/>
      <c r="M148" s="381"/>
      <c r="N148" s="381"/>
      <c r="O148" s="381"/>
      <c r="P148" s="381"/>
      <c r="Q148" s="381"/>
      <c r="R148" s="143" t="str">
        <f t="shared" si="30"/>
        <v/>
      </c>
      <c r="S148" s="142" t="str">
        <f t="shared" si="31"/>
        <v/>
      </c>
      <c r="T148" s="349" t="str">
        <f t="shared" si="32"/>
        <v/>
      </c>
      <c r="U148" s="350"/>
      <c r="V148" s="351"/>
      <c r="W148" s="176"/>
      <c r="X148" s="352" t="str">
        <f t="shared" si="33"/>
        <v/>
      </c>
      <c r="Y148" s="350"/>
      <c r="Z148" s="353"/>
      <c r="AA148" s="4"/>
    </row>
    <row r="149" spans="1:27" ht="15" customHeight="1">
      <c r="A149" s="43">
        <v>140</v>
      </c>
      <c r="B149" s="141">
        <v>140</v>
      </c>
      <c r="C149" s="142" t="str">
        <f t="shared" si="27"/>
        <v/>
      </c>
      <c r="D149" s="381" t="str">
        <f t="shared" si="28"/>
        <v/>
      </c>
      <c r="E149" s="381"/>
      <c r="F149" s="381"/>
      <c r="G149" s="381"/>
      <c r="H149" s="381"/>
      <c r="I149" s="381"/>
      <c r="J149" s="381"/>
      <c r="K149" s="381" t="str">
        <f t="shared" si="29"/>
        <v/>
      </c>
      <c r="L149" s="381"/>
      <c r="M149" s="381"/>
      <c r="N149" s="381"/>
      <c r="O149" s="381"/>
      <c r="P149" s="381"/>
      <c r="Q149" s="381"/>
      <c r="R149" s="143" t="str">
        <f t="shared" si="30"/>
        <v/>
      </c>
      <c r="S149" s="142" t="str">
        <f t="shared" si="31"/>
        <v/>
      </c>
      <c r="T149" s="349" t="str">
        <f t="shared" si="32"/>
        <v/>
      </c>
      <c r="U149" s="350"/>
      <c r="V149" s="351"/>
      <c r="W149" s="176"/>
      <c r="X149" s="352" t="str">
        <f t="shared" si="33"/>
        <v/>
      </c>
      <c r="Y149" s="350"/>
      <c r="Z149" s="353"/>
      <c r="AA149" s="4"/>
    </row>
    <row r="150" spans="1:27" ht="15" customHeight="1">
      <c r="A150" s="43">
        <v>141</v>
      </c>
      <c r="B150" s="141">
        <v>141</v>
      </c>
      <c r="C150" s="142" t="str">
        <f t="shared" si="27"/>
        <v/>
      </c>
      <c r="D150" s="381" t="str">
        <f t="shared" si="28"/>
        <v/>
      </c>
      <c r="E150" s="381"/>
      <c r="F150" s="381"/>
      <c r="G150" s="381"/>
      <c r="H150" s="381"/>
      <c r="I150" s="381"/>
      <c r="J150" s="381"/>
      <c r="K150" s="381" t="str">
        <f t="shared" si="29"/>
        <v/>
      </c>
      <c r="L150" s="381"/>
      <c r="M150" s="381"/>
      <c r="N150" s="381"/>
      <c r="O150" s="381"/>
      <c r="P150" s="381"/>
      <c r="Q150" s="381"/>
      <c r="R150" s="143" t="str">
        <f t="shared" si="30"/>
        <v/>
      </c>
      <c r="S150" s="142" t="str">
        <f t="shared" si="31"/>
        <v/>
      </c>
      <c r="T150" s="349" t="str">
        <f t="shared" si="32"/>
        <v/>
      </c>
      <c r="U150" s="350"/>
      <c r="V150" s="351"/>
      <c r="W150" s="176"/>
      <c r="X150" s="352" t="str">
        <f t="shared" si="33"/>
        <v/>
      </c>
      <c r="Y150" s="350"/>
      <c r="Z150" s="353"/>
      <c r="AA150" s="4"/>
    </row>
    <row r="151" spans="1:27" ht="15" customHeight="1">
      <c r="A151" s="43">
        <v>142</v>
      </c>
      <c r="B151" s="141">
        <v>142</v>
      </c>
      <c r="C151" s="142" t="str">
        <f t="shared" si="27"/>
        <v/>
      </c>
      <c r="D151" s="381" t="str">
        <f t="shared" si="28"/>
        <v/>
      </c>
      <c r="E151" s="381"/>
      <c r="F151" s="381"/>
      <c r="G151" s="381"/>
      <c r="H151" s="381"/>
      <c r="I151" s="381"/>
      <c r="J151" s="381"/>
      <c r="K151" s="381" t="str">
        <f t="shared" si="29"/>
        <v/>
      </c>
      <c r="L151" s="381"/>
      <c r="M151" s="381"/>
      <c r="N151" s="381"/>
      <c r="O151" s="381"/>
      <c r="P151" s="381"/>
      <c r="Q151" s="381"/>
      <c r="R151" s="143" t="str">
        <f t="shared" si="30"/>
        <v/>
      </c>
      <c r="S151" s="142" t="str">
        <f t="shared" si="31"/>
        <v/>
      </c>
      <c r="T151" s="349" t="str">
        <f t="shared" si="32"/>
        <v/>
      </c>
      <c r="U151" s="350"/>
      <c r="V151" s="351"/>
      <c r="W151" s="176"/>
      <c r="X151" s="352" t="str">
        <f t="shared" si="33"/>
        <v/>
      </c>
      <c r="Y151" s="350"/>
      <c r="Z151" s="353"/>
      <c r="AA151" s="4"/>
    </row>
    <row r="152" spans="1:27" ht="15" customHeight="1">
      <c r="A152" s="43">
        <v>143</v>
      </c>
      <c r="B152" s="141">
        <v>143</v>
      </c>
      <c r="C152" s="142" t="str">
        <f t="shared" si="27"/>
        <v/>
      </c>
      <c r="D152" s="381" t="str">
        <f t="shared" si="28"/>
        <v/>
      </c>
      <c r="E152" s="381"/>
      <c r="F152" s="381"/>
      <c r="G152" s="381"/>
      <c r="H152" s="381"/>
      <c r="I152" s="381"/>
      <c r="J152" s="381"/>
      <c r="K152" s="381" t="str">
        <f t="shared" si="29"/>
        <v/>
      </c>
      <c r="L152" s="381"/>
      <c r="M152" s="381"/>
      <c r="N152" s="381"/>
      <c r="O152" s="381"/>
      <c r="P152" s="381"/>
      <c r="Q152" s="381"/>
      <c r="R152" s="143" t="str">
        <f t="shared" si="30"/>
        <v/>
      </c>
      <c r="S152" s="142" t="str">
        <f t="shared" si="31"/>
        <v/>
      </c>
      <c r="T152" s="349" t="str">
        <f t="shared" si="32"/>
        <v/>
      </c>
      <c r="U152" s="350"/>
      <c r="V152" s="351"/>
      <c r="W152" s="176"/>
      <c r="X152" s="352" t="str">
        <f t="shared" si="33"/>
        <v/>
      </c>
      <c r="Y152" s="350"/>
      <c r="Z152" s="353"/>
      <c r="AA152" s="4"/>
    </row>
    <row r="153" spans="1:27" ht="15" customHeight="1">
      <c r="A153" s="43">
        <v>144</v>
      </c>
      <c r="B153" s="141">
        <v>144</v>
      </c>
      <c r="C153" s="142" t="str">
        <f t="shared" si="27"/>
        <v/>
      </c>
      <c r="D153" s="381" t="str">
        <f t="shared" si="28"/>
        <v/>
      </c>
      <c r="E153" s="381"/>
      <c r="F153" s="381"/>
      <c r="G153" s="381"/>
      <c r="H153" s="381"/>
      <c r="I153" s="381"/>
      <c r="J153" s="381"/>
      <c r="K153" s="381" t="str">
        <f t="shared" si="29"/>
        <v/>
      </c>
      <c r="L153" s="381"/>
      <c r="M153" s="381"/>
      <c r="N153" s="381"/>
      <c r="O153" s="381"/>
      <c r="P153" s="381"/>
      <c r="Q153" s="381"/>
      <c r="R153" s="143" t="str">
        <f t="shared" si="30"/>
        <v/>
      </c>
      <c r="S153" s="142" t="str">
        <f t="shared" si="31"/>
        <v/>
      </c>
      <c r="T153" s="349" t="str">
        <f t="shared" si="32"/>
        <v/>
      </c>
      <c r="U153" s="350"/>
      <c r="V153" s="351"/>
      <c r="W153" s="176"/>
      <c r="X153" s="352" t="str">
        <f t="shared" si="33"/>
        <v/>
      </c>
      <c r="Y153" s="350"/>
      <c r="Z153" s="353"/>
      <c r="AA153" s="4"/>
    </row>
    <row r="154" spans="1:27" ht="15" customHeight="1">
      <c r="A154" s="43">
        <v>145</v>
      </c>
      <c r="B154" s="141">
        <v>145</v>
      </c>
      <c r="C154" s="142" t="str">
        <f t="shared" si="27"/>
        <v/>
      </c>
      <c r="D154" s="381" t="str">
        <f t="shared" si="28"/>
        <v/>
      </c>
      <c r="E154" s="381"/>
      <c r="F154" s="381"/>
      <c r="G154" s="381"/>
      <c r="H154" s="381"/>
      <c r="I154" s="381"/>
      <c r="J154" s="381"/>
      <c r="K154" s="381" t="str">
        <f t="shared" si="29"/>
        <v/>
      </c>
      <c r="L154" s="381"/>
      <c r="M154" s="381"/>
      <c r="N154" s="381"/>
      <c r="O154" s="381"/>
      <c r="P154" s="381"/>
      <c r="Q154" s="381"/>
      <c r="R154" s="143" t="str">
        <f t="shared" si="30"/>
        <v/>
      </c>
      <c r="S154" s="142" t="str">
        <f t="shared" si="31"/>
        <v/>
      </c>
      <c r="T154" s="349" t="str">
        <f t="shared" si="32"/>
        <v/>
      </c>
      <c r="U154" s="350"/>
      <c r="V154" s="351"/>
      <c r="W154" s="176"/>
      <c r="X154" s="352" t="str">
        <f t="shared" si="33"/>
        <v/>
      </c>
      <c r="Y154" s="350"/>
      <c r="Z154" s="353"/>
      <c r="AA154" s="4"/>
    </row>
    <row r="155" spans="1:27" ht="15" customHeight="1">
      <c r="A155" s="43">
        <v>146</v>
      </c>
      <c r="B155" s="141">
        <v>146</v>
      </c>
      <c r="C155" s="142" t="str">
        <f t="shared" si="27"/>
        <v/>
      </c>
      <c r="D155" s="381" t="str">
        <f t="shared" si="28"/>
        <v/>
      </c>
      <c r="E155" s="381"/>
      <c r="F155" s="381"/>
      <c r="G155" s="381"/>
      <c r="H155" s="381"/>
      <c r="I155" s="381"/>
      <c r="J155" s="381"/>
      <c r="K155" s="381" t="str">
        <f t="shared" si="29"/>
        <v/>
      </c>
      <c r="L155" s="381"/>
      <c r="M155" s="381"/>
      <c r="N155" s="381"/>
      <c r="O155" s="381"/>
      <c r="P155" s="381"/>
      <c r="Q155" s="381"/>
      <c r="R155" s="143" t="str">
        <f t="shared" si="30"/>
        <v/>
      </c>
      <c r="S155" s="142" t="str">
        <f t="shared" si="31"/>
        <v/>
      </c>
      <c r="T155" s="349" t="str">
        <f t="shared" si="32"/>
        <v/>
      </c>
      <c r="U155" s="350"/>
      <c r="V155" s="351"/>
      <c r="W155" s="176"/>
      <c r="X155" s="352" t="str">
        <f t="shared" si="33"/>
        <v/>
      </c>
      <c r="Y155" s="350"/>
      <c r="Z155" s="353"/>
      <c r="AA155" s="4"/>
    </row>
    <row r="156" spans="1:27" ht="15" customHeight="1">
      <c r="A156" s="43">
        <v>147</v>
      </c>
      <c r="B156" s="141">
        <v>147</v>
      </c>
      <c r="C156" s="142" t="str">
        <f t="shared" si="27"/>
        <v/>
      </c>
      <c r="D156" s="381" t="str">
        <f t="shared" si="28"/>
        <v/>
      </c>
      <c r="E156" s="381"/>
      <c r="F156" s="381"/>
      <c r="G156" s="381"/>
      <c r="H156" s="381"/>
      <c r="I156" s="381"/>
      <c r="J156" s="381"/>
      <c r="K156" s="381" t="str">
        <f t="shared" si="29"/>
        <v/>
      </c>
      <c r="L156" s="381"/>
      <c r="M156" s="381"/>
      <c r="N156" s="381"/>
      <c r="O156" s="381"/>
      <c r="P156" s="381"/>
      <c r="Q156" s="381"/>
      <c r="R156" s="143" t="str">
        <f t="shared" si="30"/>
        <v/>
      </c>
      <c r="S156" s="142" t="str">
        <f t="shared" si="31"/>
        <v/>
      </c>
      <c r="T156" s="349" t="str">
        <f t="shared" si="32"/>
        <v/>
      </c>
      <c r="U156" s="350"/>
      <c r="V156" s="351"/>
      <c r="W156" s="176"/>
      <c r="X156" s="352" t="str">
        <f t="shared" si="33"/>
        <v/>
      </c>
      <c r="Y156" s="350"/>
      <c r="Z156" s="353"/>
      <c r="AA156" s="4"/>
    </row>
    <row r="157" spans="1:27" ht="15" customHeight="1">
      <c r="A157" s="43">
        <v>148</v>
      </c>
      <c r="B157" s="141">
        <v>148</v>
      </c>
      <c r="C157" s="142" t="str">
        <f t="shared" si="27"/>
        <v/>
      </c>
      <c r="D157" s="381" t="str">
        <f t="shared" si="28"/>
        <v/>
      </c>
      <c r="E157" s="381"/>
      <c r="F157" s="381"/>
      <c r="G157" s="381"/>
      <c r="H157" s="381"/>
      <c r="I157" s="381"/>
      <c r="J157" s="381"/>
      <c r="K157" s="381" t="str">
        <f t="shared" si="29"/>
        <v/>
      </c>
      <c r="L157" s="381"/>
      <c r="M157" s="381"/>
      <c r="N157" s="381"/>
      <c r="O157" s="381"/>
      <c r="P157" s="381"/>
      <c r="Q157" s="381"/>
      <c r="R157" s="143" t="str">
        <f t="shared" si="30"/>
        <v/>
      </c>
      <c r="S157" s="142" t="str">
        <f t="shared" si="31"/>
        <v/>
      </c>
      <c r="T157" s="349" t="str">
        <f t="shared" si="32"/>
        <v/>
      </c>
      <c r="U157" s="350"/>
      <c r="V157" s="351"/>
      <c r="W157" s="176"/>
      <c r="X157" s="352" t="str">
        <f t="shared" si="33"/>
        <v/>
      </c>
      <c r="Y157" s="350"/>
      <c r="Z157" s="353"/>
      <c r="AA157" s="4"/>
    </row>
    <row r="158" spans="1:27" ht="15" customHeight="1">
      <c r="A158" s="43">
        <v>149</v>
      </c>
      <c r="B158" s="141">
        <v>149</v>
      </c>
      <c r="C158" s="142" t="str">
        <f t="shared" si="27"/>
        <v/>
      </c>
      <c r="D158" s="381" t="str">
        <f t="shared" si="28"/>
        <v/>
      </c>
      <c r="E158" s="381"/>
      <c r="F158" s="381"/>
      <c r="G158" s="381"/>
      <c r="H158" s="381"/>
      <c r="I158" s="381"/>
      <c r="J158" s="381"/>
      <c r="K158" s="381" t="str">
        <f t="shared" si="29"/>
        <v/>
      </c>
      <c r="L158" s="381"/>
      <c r="M158" s="381"/>
      <c r="N158" s="381"/>
      <c r="O158" s="381"/>
      <c r="P158" s="381"/>
      <c r="Q158" s="381"/>
      <c r="R158" s="143" t="str">
        <f t="shared" si="30"/>
        <v/>
      </c>
      <c r="S158" s="142" t="str">
        <f t="shared" si="31"/>
        <v/>
      </c>
      <c r="T158" s="349" t="str">
        <f t="shared" si="32"/>
        <v/>
      </c>
      <c r="U158" s="350"/>
      <c r="V158" s="351"/>
      <c r="W158" s="176"/>
      <c r="X158" s="352" t="str">
        <f t="shared" si="33"/>
        <v/>
      </c>
      <c r="Y158" s="350"/>
      <c r="Z158" s="353"/>
      <c r="AA158" s="4"/>
    </row>
    <row r="159" spans="1:27" ht="15" customHeight="1">
      <c r="A159" s="109">
        <v>150</v>
      </c>
      <c r="B159" s="141">
        <v>150</v>
      </c>
      <c r="C159" s="142" t="str">
        <f t="shared" si="27"/>
        <v/>
      </c>
      <c r="D159" s="381" t="str">
        <f t="shared" si="28"/>
        <v/>
      </c>
      <c r="E159" s="381"/>
      <c r="F159" s="381"/>
      <c r="G159" s="381"/>
      <c r="H159" s="381"/>
      <c r="I159" s="381"/>
      <c r="J159" s="381"/>
      <c r="K159" s="381" t="str">
        <f t="shared" si="29"/>
        <v/>
      </c>
      <c r="L159" s="381"/>
      <c r="M159" s="381"/>
      <c r="N159" s="381"/>
      <c r="O159" s="381"/>
      <c r="P159" s="381"/>
      <c r="Q159" s="381"/>
      <c r="R159" s="143" t="str">
        <f t="shared" si="30"/>
        <v/>
      </c>
      <c r="S159" s="142" t="str">
        <f t="shared" si="31"/>
        <v/>
      </c>
      <c r="T159" s="349" t="str">
        <f t="shared" si="32"/>
        <v/>
      </c>
      <c r="U159" s="350"/>
      <c r="V159" s="351"/>
      <c r="W159" s="176"/>
      <c r="X159" s="352" t="str">
        <f t="shared" si="33"/>
        <v/>
      </c>
      <c r="Y159" s="350"/>
      <c r="Z159" s="353"/>
      <c r="AA159" s="4"/>
    </row>
    <row r="160" spans="1:27">
      <c r="A160" s="109">
        <v>151</v>
      </c>
      <c r="B160" s="141">
        <v>151</v>
      </c>
      <c r="C160" s="142" t="str">
        <f t="shared" si="27"/>
        <v/>
      </c>
      <c r="D160" s="381" t="str">
        <f t="shared" si="28"/>
        <v/>
      </c>
      <c r="E160" s="381"/>
      <c r="F160" s="381"/>
      <c r="G160" s="381"/>
      <c r="H160" s="381"/>
      <c r="I160" s="381"/>
      <c r="J160" s="381"/>
      <c r="K160" s="381" t="str">
        <f t="shared" si="29"/>
        <v/>
      </c>
      <c r="L160" s="381"/>
      <c r="M160" s="381"/>
      <c r="N160" s="381"/>
      <c r="O160" s="381"/>
      <c r="P160" s="381"/>
      <c r="Q160" s="381"/>
      <c r="R160" s="143" t="str">
        <f t="shared" si="30"/>
        <v/>
      </c>
      <c r="S160" s="142" t="str">
        <f t="shared" si="31"/>
        <v/>
      </c>
      <c r="T160" s="349" t="str">
        <f t="shared" si="32"/>
        <v/>
      </c>
      <c r="U160" s="350"/>
      <c r="V160" s="351"/>
      <c r="W160" s="176"/>
      <c r="X160" s="352" t="str">
        <f t="shared" si="33"/>
        <v/>
      </c>
      <c r="Y160" s="350"/>
      <c r="Z160" s="353"/>
      <c r="AA160" s="4"/>
    </row>
    <row r="161" spans="1:27">
      <c r="A161" s="109">
        <v>152</v>
      </c>
      <c r="B161" s="141">
        <v>152</v>
      </c>
      <c r="C161" s="142" t="str">
        <f t="shared" si="27"/>
        <v/>
      </c>
      <c r="D161" s="381" t="str">
        <f t="shared" si="28"/>
        <v/>
      </c>
      <c r="E161" s="381"/>
      <c r="F161" s="381"/>
      <c r="G161" s="381"/>
      <c r="H161" s="381"/>
      <c r="I161" s="381"/>
      <c r="J161" s="381"/>
      <c r="K161" s="381" t="str">
        <f t="shared" si="29"/>
        <v/>
      </c>
      <c r="L161" s="381"/>
      <c r="M161" s="381"/>
      <c r="N161" s="381"/>
      <c r="O161" s="381"/>
      <c r="P161" s="381"/>
      <c r="Q161" s="381"/>
      <c r="R161" s="143" t="str">
        <f t="shared" si="30"/>
        <v/>
      </c>
      <c r="S161" s="142" t="str">
        <f t="shared" si="31"/>
        <v/>
      </c>
      <c r="T161" s="349" t="str">
        <f t="shared" si="32"/>
        <v/>
      </c>
      <c r="U161" s="350"/>
      <c r="V161" s="351"/>
      <c r="W161" s="176"/>
      <c r="X161" s="352" t="str">
        <f t="shared" si="33"/>
        <v/>
      </c>
      <c r="Y161" s="350"/>
      <c r="Z161" s="353"/>
      <c r="AA161" s="4"/>
    </row>
    <row r="162" spans="1:27">
      <c r="A162" s="109">
        <v>153</v>
      </c>
      <c r="B162" s="141">
        <v>153</v>
      </c>
      <c r="C162" s="142" t="str">
        <f t="shared" si="27"/>
        <v/>
      </c>
      <c r="D162" s="381" t="str">
        <f t="shared" si="28"/>
        <v/>
      </c>
      <c r="E162" s="381"/>
      <c r="F162" s="381"/>
      <c r="G162" s="381"/>
      <c r="H162" s="381"/>
      <c r="I162" s="381"/>
      <c r="J162" s="381"/>
      <c r="K162" s="381" t="str">
        <f t="shared" si="29"/>
        <v/>
      </c>
      <c r="L162" s="381"/>
      <c r="M162" s="381"/>
      <c r="N162" s="381"/>
      <c r="O162" s="381"/>
      <c r="P162" s="381"/>
      <c r="Q162" s="381"/>
      <c r="R162" s="143" t="str">
        <f t="shared" si="30"/>
        <v/>
      </c>
      <c r="S162" s="142" t="str">
        <f t="shared" si="31"/>
        <v/>
      </c>
      <c r="T162" s="349" t="str">
        <f t="shared" si="32"/>
        <v/>
      </c>
      <c r="U162" s="350"/>
      <c r="V162" s="351"/>
      <c r="W162" s="176"/>
      <c r="X162" s="352" t="str">
        <f t="shared" si="33"/>
        <v/>
      </c>
      <c r="Y162" s="350"/>
      <c r="Z162" s="353"/>
      <c r="AA162" s="4"/>
    </row>
    <row r="163" spans="1:27">
      <c r="A163" s="109">
        <v>154</v>
      </c>
      <c r="B163" s="141">
        <v>154</v>
      </c>
      <c r="C163" s="142" t="str">
        <f t="shared" si="27"/>
        <v/>
      </c>
      <c r="D163" s="381" t="str">
        <f t="shared" si="28"/>
        <v/>
      </c>
      <c r="E163" s="381"/>
      <c r="F163" s="381"/>
      <c r="G163" s="381"/>
      <c r="H163" s="381"/>
      <c r="I163" s="381"/>
      <c r="J163" s="381"/>
      <c r="K163" s="381" t="str">
        <f t="shared" si="29"/>
        <v/>
      </c>
      <c r="L163" s="381"/>
      <c r="M163" s="381"/>
      <c r="N163" s="381"/>
      <c r="O163" s="381"/>
      <c r="P163" s="381"/>
      <c r="Q163" s="381"/>
      <c r="R163" s="143" t="str">
        <f t="shared" si="30"/>
        <v/>
      </c>
      <c r="S163" s="142" t="str">
        <f t="shared" si="31"/>
        <v/>
      </c>
      <c r="T163" s="349" t="str">
        <f t="shared" si="32"/>
        <v/>
      </c>
      <c r="U163" s="350"/>
      <c r="V163" s="351"/>
      <c r="W163" s="176"/>
      <c r="X163" s="352" t="str">
        <f t="shared" si="33"/>
        <v/>
      </c>
      <c r="Y163" s="350"/>
      <c r="Z163" s="353"/>
      <c r="AA163" s="4"/>
    </row>
    <row r="164" spans="1:27">
      <c r="A164" s="109">
        <v>155</v>
      </c>
      <c r="B164" s="141">
        <v>155</v>
      </c>
      <c r="C164" s="142" t="str">
        <f t="shared" si="27"/>
        <v/>
      </c>
      <c r="D164" s="381" t="str">
        <f t="shared" si="28"/>
        <v/>
      </c>
      <c r="E164" s="381"/>
      <c r="F164" s="381"/>
      <c r="G164" s="381"/>
      <c r="H164" s="381"/>
      <c r="I164" s="381"/>
      <c r="J164" s="381"/>
      <c r="K164" s="381" t="str">
        <f t="shared" si="29"/>
        <v/>
      </c>
      <c r="L164" s="381"/>
      <c r="M164" s="381"/>
      <c r="N164" s="381"/>
      <c r="O164" s="381"/>
      <c r="P164" s="381"/>
      <c r="Q164" s="381"/>
      <c r="R164" s="143" t="str">
        <f t="shared" si="30"/>
        <v/>
      </c>
      <c r="S164" s="142" t="str">
        <f t="shared" si="31"/>
        <v/>
      </c>
      <c r="T164" s="349" t="str">
        <f t="shared" si="32"/>
        <v/>
      </c>
      <c r="U164" s="350"/>
      <c r="V164" s="351"/>
      <c r="W164" s="176"/>
      <c r="X164" s="352" t="str">
        <f t="shared" si="33"/>
        <v/>
      </c>
      <c r="Y164" s="350"/>
      <c r="Z164" s="353"/>
      <c r="AA164" s="4"/>
    </row>
    <row r="165" spans="1:27">
      <c r="A165" s="109">
        <v>156</v>
      </c>
      <c r="B165" s="141">
        <v>156</v>
      </c>
      <c r="C165" s="142" t="str">
        <f t="shared" si="27"/>
        <v/>
      </c>
      <c r="D165" s="381" t="str">
        <f t="shared" si="28"/>
        <v/>
      </c>
      <c r="E165" s="381"/>
      <c r="F165" s="381"/>
      <c r="G165" s="381"/>
      <c r="H165" s="381"/>
      <c r="I165" s="381"/>
      <c r="J165" s="381"/>
      <c r="K165" s="381" t="str">
        <f t="shared" si="29"/>
        <v/>
      </c>
      <c r="L165" s="381"/>
      <c r="M165" s="381"/>
      <c r="N165" s="381"/>
      <c r="O165" s="381"/>
      <c r="P165" s="381"/>
      <c r="Q165" s="381"/>
      <c r="R165" s="143" t="str">
        <f t="shared" si="30"/>
        <v/>
      </c>
      <c r="S165" s="142" t="str">
        <f t="shared" si="31"/>
        <v/>
      </c>
      <c r="T165" s="349" t="str">
        <f t="shared" si="32"/>
        <v/>
      </c>
      <c r="U165" s="350"/>
      <c r="V165" s="351"/>
      <c r="W165" s="176"/>
      <c r="X165" s="352" t="str">
        <f t="shared" si="33"/>
        <v/>
      </c>
      <c r="Y165" s="350"/>
      <c r="Z165" s="353"/>
      <c r="AA165" s="4"/>
    </row>
    <row r="166" spans="1:27">
      <c r="A166" s="109">
        <v>157</v>
      </c>
      <c r="B166" s="141">
        <v>157</v>
      </c>
      <c r="C166" s="142" t="str">
        <f t="shared" si="27"/>
        <v/>
      </c>
      <c r="D166" s="381" t="str">
        <f t="shared" si="28"/>
        <v/>
      </c>
      <c r="E166" s="381"/>
      <c r="F166" s="381"/>
      <c r="G166" s="381"/>
      <c r="H166" s="381"/>
      <c r="I166" s="381"/>
      <c r="J166" s="381"/>
      <c r="K166" s="381" t="str">
        <f t="shared" si="29"/>
        <v/>
      </c>
      <c r="L166" s="381"/>
      <c r="M166" s="381"/>
      <c r="N166" s="381"/>
      <c r="O166" s="381"/>
      <c r="P166" s="381"/>
      <c r="Q166" s="381"/>
      <c r="R166" s="143" t="str">
        <f t="shared" si="30"/>
        <v/>
      </c>
      <c r="S166" s="142" t="str">
        <f t="shared" si="31"/>
        <v/>
      </c>
      <c r="T166" s="349" t="str">
        <f t="shared" si="32"/>
        <v/>
      </c>
      <c r="U166" s="350"/>
      <c r="V166" s="351"/>
      <c r="W166" s="176"/>
      <c r="X166" s="352" t="str">
        <f t="shared" si="33"/>
        <v/>
      </c>
      <c r="Y166" s="350"/>
      <c r="Z166" s="353"/>
      <c r="AA166" s="4"/>
    </row>
    <row r="167" spans="1:27">
      <c r="A167" s="109">
        <v>158</v>
      </c>
      <c r="B167" s="141">
        <v>158</v>
      </c>
      <c r="C167" s="142" t="str">
        <f t="shared" si="27"/>
        <v/>
      </c>
      <c r="D167" s="381" t="str">
        <f t="shared" si="28"/>
        <v/>
      </c>
      <c r="E167" s="381"/>
      <c r="F167" s="381"/>
      <c r="G167" s="381"/>
      <c r="H167" s="381"/>
      <c r="I167" s="381"/>
      <c r="J167" s="381"/>
      <c r="K167" s="381" t="str">
        <f t="shared" si="29"/>
        <v/>
      </c>
      <c r="L167" s="381"/>
      <c r="M167" s="381"/>
      <c r="N167" s="381"/>
      <c r="O167" s="381"/>
      <c r="P167" s="381"/>
      <c r="Q167" s="381"/>
      <c r="R167" s="143" t="str">
        <f t="shared" si="30"/>
        <v/>
      </c>
      <c r="S167" s="142" t="str">
        <f t="shared" si="31"/>
        <v/>
      </c>
      <c r="T167" s="349" t="str">
        <f t="shared" si="32"/>
        <v/>
      </c>
      <c r="U167" s="350"/>
      <c r="V167" s="351"/>
      <c r="W167" s="176"/>
      <c r="X167" s="352" t="str">
        <f t="shared" si="33"/>
        <v/>
      </c>
      <c r="Y167" s="350"/>
      <c r="Z167" s="353"/>
      <c r="AA167" s="4"/>
    </row>
    <row r="168" spans="1:27">
      <c r="A168" s="109">
        <v>159</v>
      </c>
      <c r="B168" s="141">
        <v>159</v>
      </c>
      <c r="C168" s="142" t="str">
        <f t="shared" si="27"/>
        <v/>
      </c>
      <c r="D168" s="381" t="str">
        <f t="shared" si="28"/>
        <v/>
      </c>
      <c r="E168" s="381"/>
      <c r="F168" s="381"/>
      <c r="G168" s="381"/>
      <c r="H168" s="381"/>
      <c r="I168" s="381"/>
      <c r="J168" s="381"/>
      <c r="K168" s="381" t="str">
        <f t="shared" si="29"/>
        <v/>
      </c>
      <c r="L168" s="381"/>
      <c r="M168" s="381"/>
      <c r="N168" s="381"/>
      <c r="O168" s="381"/>
      <c r="P168" s="381"/>
      <c r="Q168" s="381"/>
      <c r="R168" s="143" t="str">
        <f t="shared" si="30"/>
        <v/>
      </c>
      <c r="S168" s="142" t="str">
        <f t="shared" si="31"/>
        <v/>
      </c>
      <c r="T168" s="349" t="str">
        <f t="shared" si="32"/>
        <v/>
      </c>
      <c r="U168" s="350"/>
      <c r="V168" s="351"/>
      <c r="W168" s="176"/>
      <c r="X168" s="352" t="str">
        <f t="shared" si="33"/>
        <v/>
      </c>
      <c r="Y168" s="350"/>
      <c r="Z168" s="353"/>
      <c r="AA168" s="4"/>
    </row>
    <row r="169" spans="1:27">
      <c r="A169" s="109">
        <v>160</v>
      </c>
      <c r="B169" s="141">
        <v>160</v>
      </c>
      <c r="C169" s="142" t="str">
        <f t="shared" si="27"/>
        <v/>
      </c>
      <c r="D169" s="381" t="str">
        <f t="shared" si="28"/>
        <v/>
      </c>
      <c r="E169" s="381"/>
      <c r="F169" s="381"/>
      <c r="G169" s="381"/>
      <c r="H169" s="381"/>
      <c r="I169" s="381"/>
      <c r="J169" s="381"/>
      <c r="K169" s="381" t="str">
        <f t="shared" si="29"/>
        <v/>
      </c>
      <c r="L169" s="381"/>
      <c r="M169" s="381"/>
      <c r="N169" s="381"/>
      <c r="O169" s="381"/>
      <c r="P169" s="381"/>
      <c r="Q169" s="381"/>
      <c r="R169" s="143" t="str">
        <f t="shared" si="30"/>
        <v/>
      </c>
      <c r="S169" s="142" t="str">
        <f t="shared" si="31"/>
        <v/>
      </c>
      <c r="T169" s="349" t="str">
        <f t="shared" si="32"/>
        <v/>
      </c>
      <c r="U169" s="350"/>
      <c r="V169" s="351"/>
      <c r="W169" s="176"/>
      <c r="X169" s="352" t="str">
        <f t="shared" si="33"/>
        <v/>
      </c>
      <c r="Y169" s="350"/>
      <c r="Z169" s="353"/>
      <c r="AA169" s="4"/>
    </row>
    <row r="170" spans="1:27">
      <c r="A170" s="109">
        <v>161</v>
      </c>
      <c r="B170" s="141">
        <v>161</v>
      </c>
      <c r="C170" s="142" t="str">
        <f t="shared" ref="C170:C209" si="34">IF(IF(ISNA(VLOOKUP(A170,StartListHC,2,FALSE)),"",VLOOKUP(A170,StartListHC,2,FALSE))=0,"",IF(ISNA(VLOOKUP(A170,StartListHC,2,FALSE)),"",VLOOKUP(A170,StartListHC,2,FALSE)))</f>
        <v/>
      </c>
      <c r="D170" s="381" t="str">
        <f t="shared" ref="D170:D179" si="35">IF(IF(ISNA(VLOOKUP(A170,StartListHC,3,FALSE)),"",VLOOKUP(A170,StartListHC,3,FALSE))=0,"",IF(ISNA(VLOOKUP(A170,StartListHC,3,FALSE)),"",VLOOKUP(A170,StartListHC,3,FALSE)))</f>
        <v/>
      </c>
      <c r="E170" s="381"/>
      <c r="F170" s="381"/>
      <c r="G170" s="381"/>
      <c r="H170" s="381"/>
      <c r="I170" s="381"/>
      <c r="J170" s="381"/>
      <c r="K170" s="381" t="str">
        <f t="shared" ref="K170:K178" si="36">IF(IF(ISNA(VLOOKUP(A170,StartListHC,4,FALSE)),"",VLOOKUP(A170,StartListHC,4,FALSE))=0,"",IF(ISNA(VLOOKUP(A170,StartListHC,4,FALSE)),"",VLOOKUP(A170,StartListHC,4,FALSE)))</f>
        <v/>
      </c>
      <c r="L170" s="381"/>
      <c r="M170" s="381"/>
      <c r="N170" s="381"/>
      <c r="O170" s="381"/>
      <c r="P170" s="381"/>
      <c r="Q170" s="381"/>
      <c r="R170" s="143" t="str">
        <f t="shared" ref="R170:R209" si="37">IF(IF(ISNA(VLOOKUP(A170,StartListHC,6,FALSE)),"",VLOOKUP(A170,StartListHC,6,FALSE))=0,"",IF(ISNA(VLOOKUP(A170,StartListHC,6,FALSE)),"",VLOOKUP(A170,StartListHC,6,FALSE)))</f>
        <v/>
      </c>
      <c r="S170" s="142" t="str">
        <f t="shared" ref="S170:S179" si="38">IF(IF(ISNA(VLOOKUP(A170,StartList,6,FALSE)),"",VLOOKUP(A170,StartList,6,FALSE))=0,"",IF(ISNA(VLOOKUP(A170,StartList,6,FALSE)),"",VLOOKUP(A170,StartList,6,FALSE)))</f>
        <v/>
      </c>
      <c r="T170" s="349" t="str">
        <f t="shared" ref="T170:T178" si="39">IF(IF(ISNA(VLOOKUP(A170,StartListHC,9,FALSE)),"",VLOOKUP(A170,StartListHC,9,FALSE))=0,"",IF(ISNA(VLOOKUP(A170,StartListHC,9,FALSE)),"",VLOOKUP(A170,StartListHC,9,FALSE)))</f>
        <v/>
      </c>
      <c r="U170" s="350"/>
      <c r="V170" s="351"/>
      <c r="W170" s="176"/>
      <c r="X170" s="352" t="str">
        <f t="shared" si="33"/>
        <v/>
      </c>
      <c r="Y170" s="350"/>
      <c r="Z170" s="353"/>
      <c r="AA170" s="4"/>
    </row>
    <row r="171" spans="1:27">
      <c r="A171" s="109">
        <v>162</v>
      </c>
      <c r="B171" s="141">
        <v>162</v>
      </c>
      <c r="C171" s="142" t="str">
        <f t="shared" si="34"/>
        <v/>
      </c>
      <c r="D171" s="381" t="str">
        <f t="shared" si="35"/>
        <v/>
      </c>
      <c r="E171" s="381"/>
      <c r="F171" s="381"/>
      <c r="G171" s="381"/>
      <c r="H171" s="381"/>
      <c r="I171" s="381"/>
      <c r="J171" s="381"/>
      <c r="K171" s="381" t="str">
        <f t="shared" si="36"/>
        <v/>
      </c>
      <c r="L171" s="381"/>
      <c r="M171" s="381"/>
      <c r="N171" s="381"/>
      <c r="O171" s="381"/>
      <c r="P171" s="381"/>
      <c r="Q171" s="381"/>
      <c r="R171" s="143" t="str">
        <f t="shared" si="37"/>
        <v/>
      </c>
      <c r="S171" s="142" t="str">
        <f t="shared" si="38"/>
        <v/>
      </c>
      <c r="T171" s="349" t="str">
        <f t="shared" si="39"/>
        <v/>
      </c>
      <c r="U171" s="350"/>
      <c r="V171" s="351"/>
      <c r="W171" s="176"/>
      <c r="X171" s="352" t="str">
        <f t="shared" si="33"/>
        <v/>
      </c>
      <c r="Y171" s="350"/>
      <c r="Z171" s="353"/>
      <c r="AA171" s="4"/>
    </row>
    <row r="172" spans="1:27">
      <c r="A172" s="109">
        <v>163</v>
      </c>
      <c r="B172" s="141">
        <v>163</v>
      </c>
      <c r="C172" s="142" t="str">
        <f t="shared" si="34"/>
        <v/>
      </c>
      <c r="D172" s="381" t="str">
        <f t="shared" si="35"/>
        <v/>
      </c>
      <c r="E172" s="381"/>
      <c r="F172" s="381"/>
      <c r="G172" s="381"/>
      <c r="H172" s="381"/>
      <c r="I172" s="381"/>
      <c r="J172" s="381"/>
      <c r="K172" s="381" t="str">
        <f t="shared" si="36"/>
        <v/>
      </c>
      <c r="L172" s="381"/>
      <c r="M172" s="381"/>
      <c r="N172" s="381"/>
      <c r="O172" s="381"/>
      <c r="P172" s="381"/>
      <c r="Q172" s="381"/>
      <c r="R172" s="143" t="str">
        <f t="shared" si="37"/>
        <v/>
      </c>
      <c r="S172" s="142" t="str">
        <f t="shared" si="38"/>
        <v/>
      </c>
      <c r="T172" s="349" t="str">
        <f t="shared" si="39"/>
        <v/>
      </c>
      <c r="U172" s="350"/>
      <c r="V172" s="351"/>
      <c r="W172" s="176"/>
      <c r="X172" s="352" t="str">
        <f t="shared" si="33"/>
        <v/>
      </c>
      <c r="Y172" s="350"/>
      <c r="Z172" s="353"/>
      <c r="AA172" s="4"/>
    </row>
    <row r="173" spans="1:27">
      <c r="A173" s="109">
        <v>164</v>
      </c>
      <c r="B173" s="141">
        <v>164</v>
      </c>
      <c r="C173" s="142" t="str">
        <f t="shared" si="34"/>
        <v/>
      </c>
      <c r="D173" s="381" t="str">
        <f t="shared" si="35"/>
        <v/>
      </c>
      <c r="E173" s="381"/>
      <c r="F173" s="381"/>
      <c r="G173" s="381"/>
      <c r="H173" s="381"/>
      <c r="I173" s="381"/>
      <c r="J173" s="381"/>
      <c r="K173" s="381" t="str">
        <f t="shared" si="36"/>
        <v/>
      </c>
      <c r="L173" s="381"/>
      <c r="M173" s="381"/>
      <c r="N173" s="381"/>
      <c r="O173" s="381"/>
      <c r="P173" s="381"/>
      <c r="Q173" s="381"/>
      <c r="R173" s="143" t="str">
        <f t="shared" si="37"/>
        <v/>
      </c>
      <c r="S173" s="142" t="str">
        <f t="shared" si="38"/>
        <v/>
      </c>
      <c r="T173" s="349" t="str">
        <f t="shared" si="39"/>
        <v/>
      </c>
      <c r="U173" s="350"/>
      <c r="V173" s="351"/>
      <c r="W173" s="176"/>
      <c r="X173" s="352" t="str">
        <f t="shared" si="33"/>
        <v/>
      </c>
      <c r="Y173" s="350"/>
      <c r="Z173" s="353"/>
      <c r="AA173" s="4"/>
    </row>
    <row r="174" spans="1:27">
      <c r="A174" s="109">
        <v>165</v>
      </c>
      <c r="B174" s="141">
        <v>165</v>
      </c>
      <c r="C174" s="142" t="str">
        <f t="shared" si="34"/>
        <v/>
      </c>
      <c r="D174" s="381" t="str">
        <f t="shared" si="35"/>
        <v/>
      </c>
      <c r="E174" s="381"/>
      <c r="F174" s="381"/>
      <c r="G174" s="381"/>
      <c r="H174" s="381"/>
      <c r="I174" s="381"/>
      <c r="J174" s="381"/>
      <c r="K174" s="381" t="str">
        <f t="shared" si="36"/>
        <v/>
      </c>
      <c r="L174" s="381"/>
      <c r="M174" s="381"/>
      <c r="N174" s="381"/>
      <c r="O174" s="381"/>
      <c r="P174" s="381"/>
      <c r="Q174" s="381"/>
      <c r="R174" s="143" t="str">
        <f t="shared" si="37"/>
        <v/>
      </c>
      <c r="S174" s="142" t="str">
        <f t="shared" si="38"/>
        <v/>
      </c>
      <c r="T174" s="349" t="str">
        <f t="shared" si="39"/>
        <v/>
      </c>
      <c r="U174" s="350"/>
      <c r="V174" s="351"/>
      <c r="W174" s="176"/>
      <c r="X174" s="352" t="str">
        <f t="shared" si="33"/>
        <v/>
      </c>
      <c r="Y174" s="350"/>
      <c r="Z174" s="353"/>
      <c r="AA174" s="4"/>
    </row>
    <row r="175" spans="1:27">
      <c r="A175" s="109">
        <v>166</v>
      </c>
      <c r="B175" s="141">
        <v>166</v>
      </c>
      <c r="C175" s="142" t="str">
        <f t="shared" si="34"/>
        <v/>
      </c>
      <c r="D175" s="381" t="str">
        <f t="shared" si="35"/>
        <v/>
      </c>
      <c r="E175" s="381"/>
      <c r="F175" s="381"/>
      <c r="G175" s="381"/>
      <c r="H175" s="381"/>
      <c r="I175" s="381"/>
      <c r="J175" s="381"/>
      <c r="K175" s="381" t="str">
        <f t="shared" si="36"/>
        <v/>
      </c>
      <c r="L175" s="381"/>
      <c r="M175" s="381"/>
      <c r="N175" s="381"/>
      <c r="O175" s="381"/>
      <c r="P175" s="381"/>
      <c r="Q175" s="381"/>
      <c r="R175" s="143" t="str">
        <f t="shared" si="37"/>
        <v/>
      </c>
      <c r="S175" s="142" t="str">
        <f t="shared" si="38"/>
        <v/>
      </c>
      <c r="T175" s="349" t="str">
        <f t="shared" si="39"/>
        <v/>
      </c>
      <c r="U175" s="350"/>
      <c r="V175" s="351"/>
      <c r="W175" s="176"/>
      <c r="X175" s="352" t="str">
        <f t="shared" ref="X175:X209" si="40">IF(IF(ISNA(VLOOKUP(A175,StartListHC,12,FALSE)),"",VLOOKUP(A175,StartListHC,12,FALSE))=0,"",IF(ISNA(VLOOKUP(A175,StartListHC,12,FALSE)),"",VLOOKUP(A175,StartListHC,12,FALSE)))</f>
        <v/>
      </c>
      <c r="Y175" s="350"/>
      <c r="Z175" s="353"/>
      <c r="AA175" s="4"/>
    </row>
    <row r="176" spans="1:27">
      <c r="A176" s="109">
        <v>167</v>
      </c>
      <c r="B176" s="141">
        <v>167</v>
      </c>
      <c r="C176" s="142" t="str">
        <f t="shared" si="34"/>
        <v/>
      </c>
      <c r="D176" s="381" t="str">
        <f t="shared" si="35"/>
        <v/>
      </c>
      <c r="E176" s="381"/>
      <c r="F176" s="381"/>
      <c r="G176" s="381"/>
      <c r="H176" s="381"/>
      <c r="I176" s="381"/>
      <c r="J176" s="381"/>
      <c r="K176" s="381" t="str">
        <f t="shared" si="36"/>
        <v/>
      </c>
      <c r="L176" s="381"/>
      <c r="M176" s="381"/>
      <c r="N176" s="381"/>
      <c r="O176" s="381"/>
      <c r="P176" s="381"/>
      <c r="Q176" s="381"/>
      <c r="R176" s="143" t="str">
        <f t="shared" si="37"/>
        <v/>
      </c>
      <c r="S176" s="142" t="str">
        <f t="shared" si="38"/>
        <v/>
      </c>
      <c r="T176" s="349" t="str">
        <f t="shared" si="39"/>
        <v/>
      </c>
      <c r="U176" s="350"/>
      <c r="V176" s="351"/>
      <c r="W176" s="176"/>
      <c r="X176" s="352" t="str">
        <f t="shared" si="40"/>
        <v/>
      </c>
      <c r="Y176" s="350"/>
      <c r="Z176" s="353"/>
      <c r="AA176" s="4"/>
    </row>
    <row r="177" spans="1:27">
      <c r="A177" s="109">
        <v>168</v>
      </c>
      <c r="B177" s="141">
        <v>168</v>
      </c>
      <c r="C177" s="142" t="str">
        <f t="shared" si="34"/>
        <v/>
      </c>
      <c r="D177" s="381" t="str">
        <f t="shared" si="35"/>
        <v/>
      </c>
      <c r="E177" s="381"/>
      <c r="F177" s="381"/>
      <c r="G177" s="381"/>
      <c r="H177" s="381"/>
      <c r="I177" s="381"/>
      <c r="J177" s="381"/>
      <c r="K177" s="381" t="str">
        <f t="shared" si="36"/>
        <v/>
      </c>
      <c r="L177" s="381"/>
      <c r="M177" s="381"/>
      <c r="N177" s="381"/>
      <c r="O177" s="381"/>
      <c r="P177" s="381"/>
      <c r="Q177" s="381"/>
      <c r="R177" s="143" t="str">
        <f t="shared" si="37"/>
        <v/>
      </c>
      <c r="S177" s="142" t="str">
        <f t="shared" si="38"/>
        <v/>
      </c>
      <c r="T177" s="349" t="str">
        <f t="shared" si="39"/>
        <v/>
      </c>
      <c r="U177" s="350"/>
      <c r="V177" s="351"/>
      <c r="W177" s="176"/>
      <c r="X177" s="352" t="str">
        <f t="shared" si="40"/>
        <v/>
      </c>
      <c r="Y177" s="350"/>
      <c r="Z177" s="353"/>
      <c r="AA177" s="4"/>
    </row>
    <row r="178" spans="1:27">
      <c r="A178" s="109">
        <v>169</v>
      </c>
      <c r="B178" s="141">
        <v>169</v>
      </c>
      <c r="C178" s="142" t="str">
        <f t="shared" si="34"/>
        <v/>
      </c>
      <c r="D178" s="381" t="str">
        <f t="shared" si="35"/>
        <v/>
      </c>
      <c r="E178" s="381"/>
      <c r="F178" s="381"/>
      <c r="G178" s="381"/>
      <c r="H178" s="381"/>
      <c r="I178" s="381"/>
      <c r="J178" s="381"/>
      <c r="K178" s="381" t="str">
        <f t="shared" si="36"/>
        <v/>
      </c>
      <c r="L178" s="381"/>
      <c r="M178" s="381"/>
      <c r="N178" s="381"/>
      <c r="O178" s="381"/>
      <c r="P178" s="381"/>
      <c r="Q178" s="381"/>
      <c r="R178" s="143" t="str">
        <f t="shared" si="37"/>
        <v/>
      </c>
      <c r="S178" s="142" t="str">
        <f t="shared" si="38"/>
        <v/>
      </c>
      <c r="T178" s="349" t="str">
        <f t="shared" si="39"/>
        <v/>
      </c>
      <c r="U178" s="350"/>
      <c r="V178" s="351"/>
      <c r="W178" s="176"/>
      <c r="X178" s="352" t="str">
        <f t="shared" si="40"/>
        <v/>
      </c>
      <c r="Y178" s="350"/>
      <c r="Z178" s="353"/>
      <c r="AA178" s="4"/>
    </row>
    <row r="179" spans="1:27">
      <c r="A179" s="110">
        <v>170</v>
      </c>
      <c r="B179" s="141">
        <v>170</v>
      </c>
      <c r="C179" s="142" t="str">
        <f t="shared" si="34"/>
        <v/>
      </c>
      <c r="D179" s="371" t="str">
        <f t="shared" si="35"/>
        <v/>
      </c>
      <c r="E179" s="372"/>
      <c r="F179" s="372"/>
      <c r="G179" s="372"/>
      <c r="H179" s="372"/>
      <c r="I179" s="372"/>
      <c r="J179" s="373"/>
      <c r="K179" s="381" t="str">
        <f t="shared" ref="K179:K209" si="41">IF(IF(ISNA(VLOOKUP(A179,StartListHC,4,FALSE)),"",VLOOKUP(A179,StartListHC,4,FALSE))=0,"",IF(ISNA(VLOOKUP(A179,StartListHC,4,FALSE)),"",VLOOKUP(A179,StartListHC,4,FALSE)))</f>
        <v/>
      </c>
      <c r="L179" s="381"/>
      <c r="M179" s="381"/>
      <c r="N179" s="381"/>
      <c r="O179" s="381"/>
      <c r="P179" s="381"/>
      <c r="Q179" s="381"/>
      <c r="R179" s="143" t="str">
        <f t="shared" si="37"/>
        <v/>
      </c>
      <c r="S179" s="147" t="str">
        <f t="shared" si="38"/>
        <v/>
      </c>
      <c r="T179" s="349" t="str">
        <f t="shared" ref="T179:T209" si="42">IF(IF(ISNA(VLOOKUP(A179,StartListHC,9,FALSE)),"",VLOOKUP(A179,StartListHC,9,FALSE))=0,"",IF(ISNA(VLOOKUP(A179,StartListHC,9,FALSE)),"",VLOOKUP(A179,StartListHC,9,FALSE)))</f>
        <v/>
      </c>
      <c r="U179" s="350"/>
      <c r="V179" s="351"/>
      <c r="W179" s="176"/>
      <c r="X179" s="352" t="str">
        <f t="shared" si="40"/>
        <v/>
      </c>
      <c r="Y179" s="350"/>
      <c r="Z179" s="353"/>
      <c r="AA179" s="4"/>
    </row>
    <row r="180" spans="1:27">
      <c r="A180" s="237">
        <v>171</v>
      </c>
      <c r="B180" s="141">
        <v>171</v>
      </c>
      <c r="C180" s="142" t="str">
        <f t="shared" si="34"/>
        <v/>
      </c>
      <c r="D180" s="371" t="str">
        <f t="shared" ref="D180:D209" si="43">IF(IF(ISNA(VLOOKUP(A180,StartListHC,3,FALSE)),"",VLOOKUP(A180,StartListHC,3,FALSE))=0,"",IF(ISNA(VLOOKUP(A180,StartListHC,3,FALSE)),"",VLOOKUP(A180,StartListHC,3,FALSE)))</f>
        <v/>
      </c>
      <c r="E180" s="372"/>
      <c r="F180" s="372"/>
      <c r="G180" s="372"/>
      <c r="H180" s="372"/>
      <c r="I180" s="372"/>
      <c r="J180" s="373"/>
      <c r="K180" s="381" t="str">
        <f t="shared" si="41"/>
        <v/>
      </c>
      <c r="L180" s="381"/>
      <c r="M180" s="381"/>
      <c r="N180" s="381"/>
      <c r="O180" s="381"/>
      <c r="P180" s="381"/>
      <c r="Q180" s="381"/>
      <c r="R180" s="143" t="str">
        <f t="shared" si="37"/>
        <v/>
      </c>
      <c r="T180" s="349" t="str">
        <f t="shared" si="42"/>
        <v/>
      </c>
      <c r="U180" s="350"/>
      <c r="V180" s="351"/>
      <c r="W180" s="176"/>
      <c r="X180" s="352" t="str">
        <f t="shared" si="40"/>
        <v/>
      </c>
      <c r="Y180" s="350"/>
      <c r="Z180" s="353"/>
    </row>
    <row r="181" spans="1:27">
      <c r="A181" s="109">
        <v>172</v>
      </c>
      <c r="B181" s="141">
        <v>172</v>
      </c>
      <c r="C181" s="142" t="str">
        <f t="shared" si="34"/>
        <v/>
      </c>
      <c r="D181" s="371" t="str">
        <f t="shared" si="43"/>
        <v/>
      </c>
      <c r="E181" s="372"/>
      <c r="F181" s="372"/>
      <c r="G181" s="372"/>
      <c r="H181" s="372"/>
      <c r="I181" s="372"/>
      <c r="J181" s="373"/>
      <c r="K181" s="381" t="str">
        <f t="shared" si="41"/>
        <v/>
      </c>
      <c r="L181" s="381"/>
      <c r="M181" s="381"/>
      <c r="N181" s="381"/>
      <c r="O181" s="381"/>
      <c r="P181" s="381"/>
      <c r="Q181" s="381"/>
      <c r="R181" s="143" t="str">
        <f t="shared" si="37"/>
        <v/>
      </c>
      <c r="T181" s="349" t="str">
        <f t="shared" si="42"/>
        <v/>
      </c>
      <c r="U181" s="350"/>
      <c r="V181" s="351"/>
      <c r="W181" s="176"/>
      <c r="X181" s="352" t="str">
        <f t="shared" si="40"/>
        <v/>
      </c>
      <c r="Y181" s="350"/>
      <c r="Z181" s="353"/>
    </row>
    <row r="182" spans="1:27">
      <c r="A182" s="109">
        <v>173</v>
      </c>
      <c r="B182" s="141">
        <v>173</v>
      </c>
      <c r="C182" s="142" t="str">
        <f t="shared" si="34"/>
        <v/>
      </c>
      <c r="D182" s="371" t="str">
        <f t="shared" si="43"/>
        <v/>
      </c>
      <c r="E182" s="372"/>
      <c r="F182" s="372"/>
      <c r="G182" s="372"/>
      <c r="H182" s="372"/>
      <c r="I182" s="372"/>
      <c r="J182" s="373"/>
      <c r="K182" s="381" t="str">
        <f t="shared" si="41"/>
        <v/>
      </c>
      <c r="L182" s="381"/>
      <c r="M182" s="381"/>
      <c r="N182" s="381"/>
      <c r="O182" s="381"/>
      <c r="P182" s="381"/>
      <c r="Q182" s="381"/>
      <c r="R182" s="143" t="str">
        <f t="shared" si="37"/>
        <v/>
      </c>
      <c r="T182" s="349" t="str">
        <f t="shared" si="42"/>
        <v/>
      </c>
      <c r="U182" s="350"/>
      <c r="V182" s="351"/>
      <c r="W182" s="176"/>
      <c r="X182" s="352" t="str">
        <f t="shared" si="40"/>
        <v/>
      </c>
      <c r="Y182" s="350"/>
      <c r="Z182" s="353"/>
    </row>
    <row r="183" spans="1:27">
      <c r="A183" s="109">
        <v>174</v>
      </c>
      <c r="B183" s="141">
        <v>174</v>
      </c>
      <c r="C183" s="142" t="str">
        <f t="shared" si="34"/>
        <v/>
      </c>
      <c r="D183" s="371" t="str">
        <f t="shared" si="43"/>
        <v/>
      </c>
      <c r="E183" s="372"/>
      <c r="F183" s="372"/>
      <c r="G183" s="372"/>
      <c r="H183" s="372"/>
      <c r="I183" s="372"/>
      <c r="J183" s="373"/>
      <c r="K183" s="381" t="str">
        <f t="shared" si="41"/>
        <v/>
      </c>
      <c r="L183" s="381"/>
      <c r="M183" s="381"/>
      <c r="N183" s="381"/>
      <c r="O183" s="381"/>
      <c r="P183" s="381"/>
      <c r="Q183" s="381"/>
      <c r="R183" s="143" t="str">
        <f t="shared" si="37"/>
        <v/>
      </c>
      <c r="T183" s="349" t="str">
        <f t="shared" si="42"/>
        <v/>
      </c>
      <c r="U183" s="350"/>
      <c r="V183" s="351"/>
      <c r="W183" s="176"/>
      <c r="X183" s="352" t="str">
        <f t="shared" si="40"/>
        <v/>
      </c>
      <c r="Y183" s="350"/>
      <c r="Z183" s="353"/>
    </row>
    <row r="184" spans="1:27">
      <c r="A184" s="109">
        <v>175</v>
      </c>
      <c r="B184" s="141">
        <v>175</v>
      </c>
      <c r="C184" s="142" t="str">
        <f t="shared" si="34"/>
        <v/>
      </c>
      <c r="D184" s="371" t="str">
        <f t="shared" si="43"/>
        <v/>
      </c>
      <c r="E184" s="372"/>
      <c r="F184" s="372"/>
      <c r="G184" s="372"/>
      <c r="H184" s="372"/>
      <c r="I184" s="372"/>
      <c r="J184" s="373"/>
      <c r="K184" s="381" t="str">
        <f t="shared" si="41"/>
        <v/>
      </c>
      <c r="L184" s="381"/>
      <c r="M184" s="381"/>
      <c r="N184" s="381"/>
      <c r="O184" s="381"/>
      <c r="P184" s="381"/>
      <c r="Q184" s="381"/>
      <c r="R184" s="143" t="str">
        <f t="shared" si="37"/>
        <v/>
      </c>
      <c r="T184" s="349" t="str">
        <f t="shared" si="42"/>
        <v/>
      </c>
      <c r="U184" s="350"/>
      <c r="V184" s="351"/>
      <c r="W184" s="176"/>
      <c r="X184" s="352" t="str">
        <f t="shared" si="40"/>
        <v/>
      </c>
      <c r="Y184" s="350"/>
      <c r="Z184" s="353"/>
    </row>
    <row r="185" spans="1:27">
      <c r="A185" s="109">
        <v>176</v>
      </c>
      <c r="B185" s="141">
        <v>176</v>
      </c>
      <c r="C185" s="142" t="str">
        <f t="shared" si="34"/>
        <v/>
      </c>
      <c r="D185" s="371" t="str">
        <f t="shared" si="43"/>
        <v/>
      </c>
      <c r="E185" s="372"/>
      <c r="F185" s="372"/>
      <c r="G185" s="372"/>
      <c r="H185" s="372"/>
      <c r="I185" s="372"/>
      <c r="J185" s="373"/>
      <c r="K185" s="381" t="str">
        <f t="shared" si="41"/>
        <v/>
      </c>
      <c r="L185" s="381"/>
      <c r="M185" s="381"/>
      <c r="N185" s="381"/>
      <c r="O185" s="381"/>
      <c r="P185" s="381"/>
      <c r="Q185" s="381"/>
      <c r="R185" s="143" t="str">
        <f t="shared" si="37"/>
        <v/>
      </c>
      <c r="T185" s="349" t="str">
        <f t="shared" si="42"/>
        <v/>
      </c>
      <c r="U185" s="350"/>
      <c r="V185" s="351"/>
      <c r="W185" s="176"/>
      <c r="X185" s="352" t="str">
        <f t="shared" si="40"/>
        <v/>
      </c>
      <c r="Y185" s="350"/>
      <c r="Z185" s="353"/>
    </row>
    <row r="186" spans="1:27">
      <c r="A186" s="109">
        <v>177</v>
      </c>
      <c r="B186" s="141">
        <v>177</v>
      </c>
      <c r="C186" s="142" t="str">
        <f t="shared" si="34"/>
        <v/>
      </c>
      <c r="D186" s="371" t="str">
        <f t="shared" si="43"/>
        <v/>
      </c>
      <c r="E186" s="372"/>
      <c r="F186" s="372"/>
      <c r="G186" s="372"/>
      <c r="H186" s="372"/>
      <c r="I186" s="372"/>
      <c r="J186" s="373"/>
      <c r="K186" s="381" t="str">
        <f t="shared" si="41"/>
        <v/>
      </c>
      <c r="L186" s="381"/>
      <c r="M186" s="381"/>
      <c r="N186" s="381"/>
      <c r="O186" s="381"/>
      <c r="P186" s="381"/>
      <c r="Q186" s="381"/>
      <c r="R186" s="143" t="str">
        <f t="shared" si="37"/>
        <v/>
      </c>
      <c r="T186" s="349" t="str">
        <f t="shared" si="42"/>
        <v/>
      </c>
      <c r="U186" s="350"/>
      <c r="V186" s="351"/>
      <c r="W186" s="176"/>
      <c r="X186" s="352" t="str">
        <f t="shared" si="40"/>
        <v/>
      </c>
      <c r="Y186" s="350"/>
      <c r="Z186" s="353"/>
    </row>
    <row r="187" spans="1:27">
      <c r="A187" s="109">
        <v>178</v>
      </c>
      <c r="B187" s="141">
        <v>178</v>
      </c>
      <c r="C187" s="142" t="str">
        <f t="shared" si="34"/>
        <v/>
      </c>
      <c r="D187" s="371" t="str">
        <f t="shared" si="43"/>
        <v/>
      </c>
      <c r="E187" s="372"/>
      <c r="F187" s="372"/>
      <c r="G187" s="372"/>
      <c r="H187" s="372"/>
      <c r="I187" s="372"/>
      <c r="J187" s="373"/>
      <c r="K187" s="381" t="str">
        <f t="shared" si="41"/>
        <v/>
      </c>
      <c r="L187" s="381"/>
      <c r="M187" s="381"/>
      <c r="N187" s="381"/>
      <c r="O187" s="381"/>
      <c r="P187" s="381"/>
      <c r="Q187" s="381"/>
      <c r="R187" s="143" t="str">
        <f t="shared" si="37"/>
        <v/>
      </c>
      <c r="T187" s="349" t="str">
        <f t="shared" si="42"/>
        <v/>
      </c>
      <c r="U187" s="350"/>
      <c r="V187" s="351"/>
      <c r="W187" s="176"/>
      <c r="X187" s="352" t="str">
        <f t="shared" si="40"/>
        <v/>
      </c>
      <c r="Y187" s="350"/>
      <c r="Z187" s="353"/>
    </row>
    <row r="188" spans="1:27">
      <c r="A188" s="109">
        <v>179</v>
      </c>
      <c r="B188" s="141">
        <v>179</v>
      </c>
      <c r="C188" s="142" t="str">
        <f t="shared" si="34"/>
        <v/>
      </c>
      <c r="D188" s="371" t="str">
        <f t="shared" si="43"/>
        <v/>
      </c>
      <c r="E188" s="372"/>
      <c r="F188" s="372"/>
      <c r="G188" s="372"/>
      <c r="H188" s="372"/>
      <c r="I188" s="372"/>
      <c r="J188" s="373"/>
      <c r="K188" s="381" t="str">
        <f t="shared" si="41"/>
        <v/>
      </c>
      <c r="L188" s="381"/>
      <c r="M188" s="381"/>
      <c r="N188" s="381"/>
      <c r="O188" s="381"/>
      <c r="P188" s="381"/>
      <c r="Q188" s="381"/>
      <c r="R188" s="143" t="str">
        <f t="shared" si="37"/>
        <v/>
      </c>
      <c r="T188" s="349" t="str">
        <f t="shared" si="42"/>
        <v/>
      </c>
      <c r="U188" s="350"/>
      <c r="V188" s="351"/>
      <c r="W188" s="176"/>
      <c r="X188" s="352" t="str">
        <f t="shared" si="40"/>
        <v/>
      </c>
      <c r="Y188" s="350"/>
      <c r="Z188" s="353"/>
    </row>
    <row r="189" spans="1:27">
      <c r="A189" s="109">
        <v>180</v>
      </c>
      <c r="B189" s="141">
        <v>180</v>
      </c>
      <c r="C189" s="142" t="str">
        <f t="shared" si="34"/>
        <v/>
      </c>
      <c r="D189" s="371" t="str">
        <f t="shared" si="43"/>
        <v/>
      </c>
      <c r="E189" s="372"/>
      <c r="F189" s="372"/>
      <c r="G189" s="372"/>
      <c r="H189" s="372"/>
      <c r="I189" s="372"/>
      <c r="J189" s="373"/>
      <c r="K189" s="381" t="str">
        <f t="shared" si="41"/>
        <v/>
      </c>
      <c r="L189" s="381"/>
      <c r="M189" s="381"/>
      <c r="N189" s="381"/>
      <c r="O189" s="381"/>
      <c r="P189" s="381"/>
      <c r="Q189" s="381"/>
      <c r="R189" s="143" t="str">
        <f t="shared" si="37"/>
        <v/>
      </c>
      <c r="T189" s="349" t="str">
        <f t="shared" si="42"/>
        <v/>
      </c>
      <c r="U189" s="350"/>
      <c r="V189" s="351"/>
      <c r="W189" s="176"/>
      <c r="X189" s="352" t="str">
        <f t="shared" si="40"/>
        <v/>
      </c>
      <c r="Y189" s="350"/>
      <c r="Z189" s="353"/>
    </row>
    <row r="190" spans="1:27">
      <c r="A190" s="109">
        <v>181</v>
      </c>
      <c r="B190" s="141">
        <v>181</v>
      </c>
      <c r="C190" s="142" t="str">
        <f t="shared" si="34"/>
        <v/>
      </c>
      <c r="D190" s="371" t="str">
        <f t="shared" si="43"/>
        <v/>
      </c>
      <c r="E190" s="372"/>
      <c r="F190" s="372"/>
      <c r="G190" s="372"/>
      <c r="H190" s="372"/>
      <c r="I190" s="372"/>
      <c r="J190" s="373"/>
      <c r="K190" s="381" t="str">
        <f t="shared" si="41"/>
        <v/>
      </c>
      <c r="L190" s="381"/>
      <c r="M190" s="381"/>
      <c r="N190" s="381"/>
      <c r="O190" s="381"/>
      <c r="P190" s="381"/>
      <c r="Q190" s="381"/>
      <c r="R190" s="143" t="str">
        <f t="shared" si="37"/>
        <v/>
      </c>
      <c r="T190" s="349" t="str">
        <f t="shared" si="42"/>
        <v/>
      </c>
      <c r="U190" s="350"/>
      <c r="V190" s="351"/>
      <c r="W190" s="176"/>
      <c r="X190" s="352" t="str">
        <f t="shared" si="40"/>
        <v/>
      </c>
      <c r="Y190" s="350"/>
      <c r="Z190" s="353"/>
    </row>
    <row r="191" spans="1:27">
      <c r="A191" s="109">
        <v>182</v>
      </c>
      <c r="B191" s="141">
        <v>182</v>
      </c>
      <c r="C191" s="142" t="str">
        <f t="shared" si="34"/>
        <v/>
      </c>
      <c r="D191" s="371" t="str">
        <f t="shared" si="43"/>
        <v/>
      </c>
      <c r="E191" s="372"/>
      <c r="F191" s="372"/>
      <c r="G191" s="372"/>
      <c r="H191" s="372"/>
      <c r="I191" s="372"/>
      <c r="J191" s="373"/>
      <c r="K191" s="381" t="str">
        <f t="shared" si="41"/>
        <v/>
      </c>
      <c r="L191" s="381"/>
      <c r="M191" s="381"/>
      <c r="N191" s="381"/>
      <c r="O191" s="381"/>
      <c r="P191" s="381"/>
      <c r="Q191" s="381"/>
      <c r="R191" s="143" t="str">
        <f t="shared" si="37"/>
        <v/>
      </c>
      <c r="T191" s="349" t="str">
        <f t="shared" si="42"/>
        <v/>
      </c>
      <c r="U191" s="350"/>
      <c r="V191" s="351"/>
      <c r="W191" s="176"/>
      <c r="X191" s="352" t="str">
        <f t="shared" si="40"/>
        <v/>
      </c>
      <c r="Y191" s="350"/>
      <c r="Z191" s="353"/>
    </row>
    <row r="192" spans="1:27">
      <c r="A192" s="109">
        <v>183</v>
      </c>
      <c r="B192" s="141">
        <v>183</v>
      </c>
      <c r="C192" s="142" t="str">
        <f t="shared" si="34"/>
        <v/>
      </c>
      <c r="D192" s="371" t="str">
        <f t="shared" si="43"/>
        <v/>
      </c>
      <c r="E192" s="372"/>
      <c r="F192" s="372"/>
      <c r="G192" s="372"/>
      <c r="H192" s="372"/>
      <c r="I192" s="372"/>
      <c r="J192" s="373"/>
      <c r="K192" s="381" t="str">
        <f t="shared" si="41"/>
        <v/>
      </c>
      <c r="L192" s="381"/>
      <c r="M192" s="381"/>
      <c r="N192" s="381"/>
      <c r="O192" s="381"/>
      <c r="P192" s="381"/>
      <c r="Q192" s="381"/>
      <c r="R192" s="143" t="str">
        <f t="shared" si="37"/>
        <v/>
      </c>
      <c r="T192" s="349" t="str">
        <f t="shared" si="42"/>
        <v/>
      </c>
      <c r="U192" s="350"/>
      <c r="V192" s="351"/>
      <c r="W192" s="176"/>
      <c r="X192" s="352" t="str">
        <f t="shared" si="40"/>
        <v/>
      </c>
      <c r="Y192" s="350"/>
      <c r="Z192" s="353"/>
    </row>
    <row r="193" spans="1:26">
      <c r="A193" s="109">
        <v>184</v>
      </c>
      <c r="B193" s="141">
        <v>184</v>
      </c>
      <c r="C193" s="142" t="str">
        <f t="shared" si="34"/>
        <v/>
      </c>
      <c r="D193" s="371" t="str">
        <f t="shared" si="43"/>
        <v/>
      </c>
      <c r="E193" s="372"/>
      <c r="F193" s="372"/>
      <c r="G193" s="372"/>
      <c r="H193" s="372"/>
      <c r="I193" s="372"/>
      <c r="J193" s="373"/>
      <c r="K193" s="381" t="str">
        <f t="shared" si="41"/>
        <v/>
      </c>
      <c r="L193" s="381"/>
      <c r="M193" s="381"/>
      <c r="N193" s="381"/>
      <c r="O193" s="381"/>
      <c r="P193" s="381"/>
      <c r="Q193" s="381"/>
      <c r="R193" s="143" t="str">
        <f t="shared" si="37"/>
        <v/>
      </c>
      <c r="T193" s="349" t="str">
        <f t="shared" si="42"/>
        <v/>
      </c>
      <c r="U193" s="350"/>
      <c r="V193" s="351"/>
      <c r="W193" s="176"/>
      <c r="X193" s="352" t="str">
        <f t="shared" si="40"/>
        <v/>
      </c>
      <c r="Y193" s="350"/>
      <c r="Z193" s="353"/>
    </row>
    <row r="194" spans="1:26">
      <c r="A194" s="109">
        <v>185</v>
      </c>
      <c r="B194" s="141">
        <v>185</v>
      </c>
      <c r="C194" s="142" t="str">
        <f t="shared" si="34"/>
        <v/>
      </c>
      <c r="D194" s="371" t="str">
        <f t="shared" si="43"/>
        <v/>
      </c>
      <c r="E194" s="372"/>
      <c r="F194" s="372"/>
      <c r="G194" s="372"/>
      <c r="H194" s="372"/>
      <c r="I194" s="372"/>
      <c r="J194" s="373"/>
      <c r="K194" s="381" t="str">
        <f t="shared" si="41"/>
        <v/>
      </c>
      <c r="L194" s="381"/>
      <c r="M194" s="381"/>
      <c r="N194" s="381"/>
      <c r="O194" s="381"/>
      <c r="P194" s="381"/>
      <c r="Q194" s="381"/>
      <c r="R194" s="143" t="str">
        <f t="shared" si="37"/>
        <v/>
      </c>
      <c r="T194" s="349" t="str">
        <f t="shared" si="42"/>
        <v/>
      </c>
      <c r="U194" s="350"/>
      <c r="V194" s="351"/>
      <c r="W194" s="176"/>
      <c r="X194" s="352" t="str">
        <f t="shared" si="40"/>
        <v/>
      </c>
      <c r="Y194" s="350"/>
      <c r="Z194" s="353"/>
    </row>
    <row r="195" spans="1:26">
      <c r="A195" s="109">
        <v>186</v>
      </c>
      <c r="B195" s="141">
        <v>186</v>
      </c>
      <c r="C195" s="142" t="str">
        <f t="shared" si="34"/>
        <v/>
      </c>
      <c r="D195" s="371" t="str">
        <f t="shared" si="43"/>
        <v/>
      </c>
      <c r="E195" s="372"/>
      <c r="F195" s="372"/>
      <c r="G195" s="372"/>
      <c r="H195" s="372"/>
      <c r="I195" s="372"/>
      <c r="J195" s="373"/>
      <c r="K195" s="381" t="str">
        <f t="shared" si="41"/>
        <v/>
      </c>
      <c r="L195" s="381"/>
      <c r="M195" s="381"/>
      <c r="N195" s="381"/>
      <c r="O195" s="381"/>
      <c r="P195" s="381"/>
      <c r="Q195" s="381"/>
      <c r="R195" s="143" t="str">
        <f t="shared" si="37"/>
        <v/>
      </c>
      <c r="T195" s="349" t="str">
        <f t="shared" si="42"/>
        <v/>
      </c>
      <c r="U195" s="350"/>
      <c r="V195" s="351"/>
      <c r="W195" s="176"/>
      <c r="X195" s="352" t="str">
        <f t="shared" si="40"/>
        <v/>
      </c>
      <c r="Y195" s="350"/>
      <c r="Z195" s="353"/>
    </row>
    <row r="196" spans="1:26">
      <c r="A196" s="109">
        <v>187</v>
      </c>
      <c r="B196" s="141">
        <v>187</v>
      </c>
      <c r="C196" s="142" t="str">
        <f t="shared" si="34"/>
        <v/>
      </c>
      <c r="D196" s="371" t="str">
        <f t="shared" si="43"/>
        <v/>
      </c>
      <c r="E196" s="372"/>
      <c r="F196" s="372"/>
      <c r="G196" s="372"/>
      <c r="H196" s="372"/>
      <c r="I196" s="372"/>
      <c r="J196" s="373"/>
      <c r="K196" s="381" t="str">
        <f t="shared" si="41"/>
        <v/>
      </c>
      <c r="L196" s="381"/>
      <c r="M196" s="381"/>
      <c r="N196" s="381"/>
      <c r="O196" s="381"/>
      <c r="P196" s="381"/>
      <c r="Q196" s="381"/>
      <c r="R196" s="143" t="str">
        <f t="shared" si="37"/>
        <v/>
      </c>
      <c r="T196" s="349" t="str">
        <f t="shared" si="42"/>
        <v/>
      </c>
      <c r="U196" s="350"/>
      <c r="V196" s="351"/>
      <c r="W196" s="176"/>
      <c r="X196" s="352" t="str">
        <f t="shared" si="40"/>
        <v/>
      </c>
      <c r="Y196" s="350"/>
      <c r="Z196" s="353"/>
    </row>
    <row r="197" spans="1:26">
      <c r="A197" s="109">
        <v>188</v>
      </c>
      <c r="B197" s="141">
        <v>188</v>
      </c>
      <c r="C197" s="142" t="str">
        <f t="shared" si="34"/>
        <v/>
      </c>
      <c r="D197" s="371" t="str">
        <f t="shared" si="43"/>
        <v/>
      </c>
      <c r="E197" s="372"/>
      <c r="F197" s="372"/>
      <c r="G197" s="372"/>
      <c r="H197" s="372"/>
      <c r="I197" s="372"/>
      <c r="J197" s="373"/>
      <c r="K197" s="381" t="str">
        <f t="shared" si="41"/>
        <v/>
      </c>
      <c r="L197" s="381"/>
      <c r="M197" s="381"/>
      <c r="N197" s="381"/>
      <c r="O197" s="381"/>
      <c r="P197" s="381"/>
      <c r="Q197" s="381"/>
      <c r="R197" s="143" t="str">
        <f t="shared" si="37"/>
        <v/>
      </c>
      <c r="T197" s="349" t="str">
        <f t="shared" si="42"/>
        <v/>
      </c>
      <c r="U197" s="350"/>
      <c r="V197" s="351"/>
      <c r="W197" s="176"/>
      <c r="X197" s="352" t="str">
        <f t="shared" si="40"/>
        <v/>
      </c>
      <c r="Y197" s="350"/>
      <c r="Z197" s="353"/>
    </row>
    <row r="198" spans="1:26">
      <c r="A198" s="109">
        <v>189</v>
      </c>
      <c r="B198" s="141">
        <v>189</v>
      </c>
      <c r="C198" s="142" t="str">
        <f t="shared" si="34"/>
        <v/>
      </c>
      <c r="D198" s="371" t="str">
        <f t="shared" si="43"/>
        <v/>
      </c>
      <c r="E198" s="372"/>
      <c r="F198" s="372"/>
      <c r="G198" s="372"/>
      <c r="H198" s="372"/>
      <c r="I198" s="372"/>
      <c r="J198" s="373"/>
      <c r="K198" s="381" t="str">
        <f t="shared" si="41"/>
        <v/>
      </c>
      <c r="L198" s="381"/>
      <c r="M198" s="381"/>
      <c r="N198" s="381"/>
      <c r="O198" s="381"/>
      <c r="P198" s="381"/>
      <c r="Q198" s="381"/>
      <c r="R198" s="143" t="str">
        <f t="shared" si="37"/>
        <v/>
      </c>
      <c r="T198" s="349" t="str">
        <f t="shared" si="42"/>
        <v/>
      </c>
      <c r="U198" s="350"/>
      <c r="V198" s="351"/>
      <c r="W198" s="176"/>
      <c r="X198" s="352" t="str">
        <f t="shared" si="40"/>
        <v/>
      </c>
      <c r="Y198" s="350"/>
      <c r="Z198" s="353"/>
    </row>
    <row r="199" spans="1:26">
      <c r="A199" s="109">
        <v>190</v>
      </c>
      <c r="B199" s="141">
        <v>190</v>
      </c>
      <c r="C199" s="142" t="str">
        <f t="shared" si="34"/>
        <v/>
      </c>
      <c r="D199" s="371" t="str">
        <f t="shared" si="43"/>
        <v/>
      </c>
      <c r="E199" s="372"/>
      <c r="F199" s="372"/>
      <c r="G199" s="372"/>
      <c r="H199" s="372"/>
      <c r="I199" s="372"/>
      <c r="J199" s="373"/>
      <c r="K199" s="381" t="str">
        <f t="shared" si="41"/>
        <v/>
      </c>
      <c r="L199" s="381"/>
      <c r="M199" s="381"/>
      <c r="N199" s="381"/>
      <c r="O199" s="381"/>
      <c r="P199" s="381"/>
      <c r="Q199" s="381"/>
      <c r="R199" s="143" t="str">
        <f t="shared" si="37"/>
        <v/>
      </c>
      <c r="T199" s="349" t="str">
        <f t="shared" si="42"/>
        <v/>
      </c>
      <c r="U199" s="350"/>
      <c r="V199" s="351"/>
      <c r="W199" s="176"/>
      <c r="X199" s="352" t="str">
        <f t="shared" si="40"/>
        <v/>
      </c>
      <c r="Y199" s="350"/>
      <c r="Z199" s="353"/>
    </row>
    <row r="200" spans="1:26">
      <c r="A200" s="109">
        <v>191</v>
      </c>
      <c r="B200" s="141">
        <v>191</v>
      </c>
      <c r="C200" s="142" t="str">
        <f t="shared" si="34"/>
        <v/>
      </c>
      <c r="D200" s="371" t="str">
        <f t="shared" si="43"/>
        <v/>
      </c>
      <c r="E200" s="372"/>
      <c r="F200" s="372"/>
      <c r="G200" s="372"/>
      <c r="H200" s="372"/>
      <c r="I200" s="372"/>
      <c r="J200" s="373"/>
      <c r="K200" s="381" t="str">
        <f t="shared" si="41"/>
        <v/>
      </c>
      <c r="L200" s="381"/>
      <c r="M200" s="381"/>
      <c r="N200" s="381"/>
      <c r="O200" s="381"/>
      <c r="P200" s="381"/>
      <c r="Q200" s="381"/>
      <c r="R200" s="143" t="str">
        <f t="shared" si="37"/>
        <v/>
      </c>
      <c r="T200" s="349" t="str">
        <f t="shared" si="42"/>
        <v/>
      </c>
      <c r="U200" s="350"/>
      <c r="V200" s="351"/>
      <c r="W200" s="176"/>
      <c r="X200" s="352" t="str">
        <f t="shared" si="40"/>
        <v/>
      </c>
      <c r="Y200" s="350"/>
      <c r="Z200" s="353"/>
    </row>
    <row r="201" spans="1:26">
      <c r="A201" s="109">
        <v>192</v>
      </c>
      <c r="B201" s="141">
        <v>192</v>
      </c>
      <c r="C201" s="142" t="str">
        <f t="shared" si="34"/>
        <v/>
      </c>
      <c r="D201" s="371" t="str">
        <f t="shared" si="43"/>
        <v/>
      </c>
      <c r="E201" s="372"/>
      <c r="F201" s="372"/>
      <c r="G201" s="372"/>
      <c r="H201" s="372"/>
      <c r="I201" s="372"/>
      <c r="J201" s="373"/>
      <c r="K201" s="381" t="str">
        <f t="shared" si="41"/>
        <v/>
      </c>
      <c r="L201" s="381"/>
      <c r="M201" s="381"/>
      <c r="N201" s="381"/>
      <c r="O201" s="381"/>
      <c r="P201" s="381"/>
      <c r="Q201" s="381"/>
      <c r="R201" s="143" t="str">
        <f t="shared" si="37"/>
        <v/>
      </c>
      <c r="T201" s="349" t="str">
        <f t="shared" si="42"/>
        <v/>
      </c>
      <c r="U201" s="350"/>
      <c r="V201" s="351"/>
      <c r="W201" s="176"/>
      <c r="X201" s="352" t="str">
        <f t="shared" si="40"/>
        <v/>
      </c>
      <c r="Y201" s="350"/>
      <c r="Z201" s="353"/>
    </row>
    <row r="202" spans="1:26">
      <c r="A202" s="109">
        <v>193</v>
      </c>
      <c r="B202" s="141">
        <v>193</v>
      </c>
      <c r="C202" s="142" t="str">
        <f t="shared" si="34"/>
        <v/>
      </c>
      <c r="D202" s="371" t="str">
        <f t="shared" si="43"/>
        <v/>
      </c>
      <c r="E202" s="372"/>
      <c r="F202" s="372"/>
      <c r="G202" s="372"/>
      <c r="H202" s="372"/>
      <c r="I202" s="372"/>
      <c r="J202" s="373"/>
      <c r="K202" s="381" t="str">
        <f t="shared" si="41"/>
        <v/>
      </c>
      <c r="L202" s="381"/>
      <c r="M202" s="381"/>
      <c r="N202" s="381"/>
      <c r="O202" s="381"/>
      <c r="P202" s="381"/>
      <c r="Q202" s="381"/>
      <c r="R202" s="143" t="str">
        <f t="shared" si="37"/>
        <v/>
      </c>
      <c r="T202" s="349" t="str">
        <f t="shared" si="42"/>
        <v/>
      </c>
      <c r="U202" s="350"/>
      <c r="V202" s="351"/>
      <c r="W202" s="176"/>
      <c r="X202" s="352" t="str">
        <f t="shared" si="40"/>
        <v/>
      </c>
      <c r="Y202" s="350"/>
      <c r="Z202" s="353"/>
    </row>
    <row r="203" spans="1:26">
      <c r="A203" s="109">
        <v>194</v>
      </c>
      <c r="B203" s="141">
        <v>194</v>
      </c>
      <c r="C203" s="142" t="str">
        <f t="shared" si="34"/>
        <v/>
      </c>
      <c r="D203" s="371" t="str">
        <f t="shared" si="43"/>
        <v/>
      </c>
      <c r="E203" s="372"/>
      <c r="F203" s="372"/>
      <c r="G203" s="372"/>
      <c r="H203" s="372"/>
      <c r="I203" s="372"/>
      <c r="J203" s="373"/>
      <c r="K203" s="381" t="str">
        <f t="shared" si="41"/>
        <v/>
      </c>
      <c r="L203" s="381"/>
      <c r="M203" s="381"/>
      <c r="N203" s="381"/>
      <c r="O203" s="381"/>
      <c r="P203" s="381"/>
      <c r="Q203" s="381"/>
      <c r="R203" s="143" t="str">
        <f t="shared" si="37"/>
        <v/>
      </c>
      <c r="T203" s="349" t="str">
        <f t="shared" si="42"/>
        <v/>
      </c>
      <c r="U203" s="350"/>
      <c r="V203" s="351"/>
      <c r="W203" s="176"/>
      <c r="X203" s="352" t="str">
        <f t="shared" si="40"/>
        <v/>
      </c>
      <c r="Y203" s="350"/>
      <c r="Z203" s="353"/>
    </row>
    <row r="204" spans="1:26">
      <c r="A204" s="109">
        <v>195</v>
      </c>
      <c r="B204" s="141">
        <v>195</v>
      </c>
      <c r="C204" s="142" t="str">
        <f t="shared" si="34"/>
        <v/>
      </c>
      <c r="D204" s="371" t="str">
        <f t="shared" si="43"/>
        <v/>
      </c>
      <c r="E204" s="372"/>
      <c r="F204" s="372"/>
      <c r="G204" s="372"/>
      <c r="H204" s="372"/>
      <c r="I204" s="372"/>
      <c r="J204" s="373"/>
      <c r="K204" s="381" t="str">
        <f t="shared" si="41"/>
        <v/>
      </c>
      <c r="L204" s="381"/>
      <c r="M204" s="381"/>
      <c r="N204" s="381"/>
      <c r="O204" s="381"/>
      <c r="P204" s="381"/>
      <c r="Q204" s="381"/>
      <c r="R204" s="143" t="str">
        <f t="shared" si="37"/>
        <v/>
      </c>
      <c r="T204" s="349" t="str">
        <f t="shared" si="42"/>
        <v/>
      </c>
      <c r="U204" s="350"/>
      <c r="V204" s="351"/>
      <c r="W204" s="176"/>
      <c r="X204" s="352" t="str">
        <f t="shared" si="40"/>
        <v/>
      </c>
      <c r="Y204" s="350"/>
      <c r="Z204" s="353"/>
    </row>
    <row r="205" spans="1:26">
      <c r="A205" s="109">
        <v>196</v>
      </c>
      <c r="B205" s="141">
        <v>196</v>
      </c>
      <c r="C205" s="142" t="str">
        <f t="shared" si="34"/>
        <v/>
      </c>
      <c r="D205" s="371" t="str">
        <f t="shared" si="43"/>
        <v/>
      </c>
      <c r="E205" s="372"/>
      <c r="F205" s="372"/>
      <c r="G205" s="372"/>
      <c r="H205" s="372"/>
      <c r="I205" s="372"/>
      <c r="J205" s="373"/>
      <c r="K205" s="381" t="str">
        <f t="shared" si="41"/>
        <v/>
      </c>
      <c r="L205" s="381"/>
      <c r="M205" s="381"/>
      <c r="N205" s="381"/>
      <c r="O205" s="381"/>
      <c r="P205" s="381"/>
      <c r="Q205" s="381"/>
      <c r="R205" s="143" t="str">
        <f t="shared" si="37"/>
        <v/>
      </c>
      <c r="T205" s="349" t="str">
        <f t="shared" si="42"/>
        <v/>
      </c>
      <c r="U205" s="350"/>
      <c r="V205" s="351"/>
      <c r="W205" s="176"/>
      <c r="X205" s="352" t="str">
        <f t="shared" si="40"/>
        <v/>
      </c>
      <c r="Y205" s="350"/>
      <c r="Z205" s="353"/>
    </row>
    <row r="206" spans="1:26">
      <c r="A206" s="109">
        <v>197</v>
      </c>
      <c r="B206" s="141">
        <v>197</v>
      </c>
      <c r="C206" s="142" t="str">
        <f t="shared" si="34"/>
        <v/>
      </c>
      <c r="D206" s="371" t="str">
        <f t="shared" si="43"/>
        <v/>
      </c>
      <c r="E206" s="372"/>
      <c r="F206" s="372"/>
      <c r="G206" s="372"/>
      <c r="H206" s="372"/>
      <c r="I206" s="372"/>
      <c r="J206" s="373"/>
      <c r="K206" s="381" t="str">
        <f t="shared" si="41"/>
        <v/>
      </c>
      <c r="L206" s="381"/>
      <c r="M206" s="381"/>
      <c r="N206" s="381"/>
      <c r="O206" s="381"/>
      <c r="P206" s="381"/>
      <c r="Q206" s="381"/>
      <c r="R206" s="143" t="str">
        <f t="shared" si="37"/>
        <v/>
      </c>
      <c r="T206" s="349" t="str">
        <f t="shared" si="42"/>
        <v/>
      </c>
      <c r="U206" s="350"/>
      <c r="V206" s="351"/>
      <c r="W206" s="176"/>
      <c r="X206" s="352" t="str">
        <f t="shared" si="40"/>
        <v/>
      </c>
      <c r="Y206" s="350"/>
      <c r="Z206" s="353"/>
    </row>
    <row r="207" spans="1:26">
      <c r="A207" s="109">
        <v>198</v>
      </c>
      <c r="B207" s="141">
        <v>198</v>
      </c>
      <c r="C207" s="142" t="str">
        <f t="shared" si="34"/>
        <v/>
      </c>
      <c r="D207" s="371" t="str">
        <f t="shared" si="43"/>
        <v/>
      </c>
      <c r="E207" s="372"/>
      <c r="F207" s="372"/>
      <c r="G207" s="372"/>
      <c r="H207" s="372"/>
      <c r="I207" s="372"/>
      <c r="J207" s="373"/>
      <c r="K207" s="381" t="str">
        <f t="shared" si="41"/>
        <v/>
      </c>
      <c r="L207" s="381"/>
      <c r="M207" s="381"/>
      <c r="N207" s="381"/>
      <c r="O207" s="381"/>
      <c r="P207" s="381"/>
      <c r="Q207" s="381"/>
      <c r="R207" s="143" t="str">
        <f t="shared" si="37"/>
        <v/>
      </c>
      <c r="T207" s="349" t="str">
        <f t="shared" si="42"/>
        <v/>
      </c>
      <c r="U207" s="350"/>
      <c r="V207" s="351"/>
      <c r="W207" s="176"/>
      <c r="X207" s="352" t="str">
        <f t="shared" si="40"/>
        <v/>
      </c>
      <c r="Y207" s="350"/>
      <c r="Z207" s="353"/>
    </row>
    <row r="208" spans="1:26">
      <c r="A208" s="109">
        <v>199</v>
      </c>
      <c r="B208" s="141">
        <v>199</v>
      </c>
      <c r="C208" s="142" t="str">
        <f t="shared" si="34"/>
        <v/>
      </c>
      <c r="D208" s="371" t="str">
        <f t="shared" si="43"/>
        <v/>
      </c>
      <c r="E208" s="372"/>
      <c r="F208" s="372"/>
      <c r="G208" s="372"/>
      <c r="H208" s="372"/>
      <c r="I208" s="372"/>
      <c r="J208" s="373"/>
      <c r="K208" s="381" t="str">
        <f t="shared" si="41"/>
        <v/>
      </c>
      <c r="L208" s="381"/>
      <c r="M208" s="381"/>
      <c r="N208" s="381"/>
      <c r="O208" s="381"/>
      <c r="P208" s="381"/>
      <c r="Q208" s="381"/>
      <c r="R208" s="143" t="str">
        <f t="shared" si="37"/>
        <v/>
      </c>
      <c r="T208" s="349" t="str">
        <f t="shared" si="42"/>
        <v/>
      </c>
      <c r="U208" s="350"/>
      <c r="V208" s="351"/>
      <c r="W208" s="176"/>
      <c r="X208" s="352" t="str">
        <f t="shared" si="40"/>
        <v/>
      </c>
      <c r="Y208" s="350"/>
      <c r="Z208" s="353"/>
    </row>
    <row r="209" spans="1:26">
      <c r="A209" s="198">
        <v>200</v>
      </c>
      <c r="B209" s="238">
        <v>200</v>
      </c>
      <c r="C209" s="147" t="str">
        <f t="shared" si="34"/>
        <v/>
      </c>
      <c r="D209" s="382" t="str">
        <f t="shared" si="43"/>
        <v/>
      </c>
      <c r="E209" s="364"/>
      <c r="F209" s="364"/>
      <c r="G209" s="364"/>
      <c r="H209" s="364"/>
      <c r="I209" s="364"/>
      <c r="J209" s="364"/>
      <c r="K209" s="382" t="str">
        <f t="shared" si="41"/>
        <v/>
      </c>
      <c r="L209" s="382"/>
      <c r="M209" s="382"/>
      <c r="N209" s="382"/>
      <c r="O209" s="382"/>
      <c r="P209" s="382"/>
      <c r="Q209" s="382"/>
      <c r="R209" s="148" t="str">
        <f t="shared" si="37"/>
        <v/>
      </c>
      <c r="S209" s="239"/>
      <c r="T209" s="357" t="str">
        <f t="shared" si="42"/>
        <v/>
      </c>
      <c r="U209" s="358"/>
      <c r="V209" s="358"/>
      <c r="W209" s="182"/>
      <c r="X209" s="354" t="str">
        <f t="shared" si="40"/>
        <v/>
      </c>
      <c r="Y209" s="355"/>
      <c r="Z209" s="356"/>
    </row>
  </sheetData>
  <sheetProtection password="BC93" sheet="1" objects="1" scenarios="1"/>
  <mergeCells count="810">
    <mergeCell ref="X204:Z204"/>
    <mergeCell ref="X205:Z205"/>
    <mergeCell ref="X206:Z206"/>
    <mergeCell ref="X207:Z207"/>
    <mergeCell ref="X208:Z208"/>
    <mergeCell ref="X209:Z209"/>
    <mergeCell ref="T207:V207"/>
    <mergeCell ref="T208:V208"/>
    <mergeCell ref="T209:V209"/>
    <mergeCell ref="T204:V204"/>
    <mergeCell ref="T205:V205"/>
    <mergeCell ref="T206:V206"/>
    <mergeCell ref="X181:Z181"/>
    <mergeCell ref="X182:Z182"/>
    <mergeCell ref="X183:Z183"/>
    <mergeCell ref="X184:Z184"/>
    <mergeCell ref="X185:Z185"/>
    <mergeCell ref="X186:Z186"/>
    <mergeCell ref="X187:Z187"/>
    <mergeCell ref="X188:Z188"/>
    <mergeCell ref="X189:Z189"/>
    <mergeCell ref="X190:Z190"/>
    <mergeCell ref="X191:Z191"/>
    <mergeCell ref="X192:Z192"/>
    <mergeCell ref="X193:Z193"/>
    <mergeCell ref="X194:Z194"/>
    <mergeCell ref="X195:Z195"/>
    <mergeCell ref="X196:Z196"/>
    <mergeCell ref="X197:Z197"/>
    <mergeCell ref="X198:Z198"/>
    <mergeCell ref="X199:Z199"/>
    <mergeCell ref="X200:Z200"/>
    <mergeCell ref="X201:Z201"/>
    <mergeCell ref="T198:V198"/>
    <mergeCell ref="T199:V199"/>
    <mergeCell ref="T200:V200"/>
    <mergeCell ref="T201:V201"/>
    <mergeCell ref="T202:V202"/>
    <mergeCell ref="T203:V203"/>
    <mergeCell ref="X202:Z202"/>
    <mergeCell ref="X203:Z203"/>
    <mergeCell ref="K203:Q203"/>
    <mergeCell ref="K204:Q204"/>
    <mergeCell ref="K205:Q205"/>
    <mergeCell ref="K206:Q206"/>
    <mergeCell ref="K207:Q207"/>
    <mergeCell ref="K208:Q208"/>
    <mergeCell ref="K209:Q209"/>
    <mergeCell ref="T181:V181"/>
    <mergeCell ref="T182:V182"/>
    <mergeCell ref="T183:V183"/>
    <mergeCell ref="T184:V184"/>
    <mergeCell ref="T185:V185"/>
    <mergeCell ref="T186:V186"/>
    <mergeCell ref="T187:V187"/>
    <mergeCell ref="T188:V188"/>
    <mergeCell ref="T189:V189"/>
    <mergeCell ref="T190:V190"/>
    <mergeCell ref="T191:V191"/>
    <mergeCell ref="T192:V192"/>
    <mergeCell ref="T193:V193"/>
    <mergeCell ref="T194:V194"/>
    <mergeCell ref="T195:V195"/>
    <mergeCell ref="T196:V196"/>
    <mergeCell ref="T197:V197"/>
    <mergeCell ref="D208:J208"/>
    <mergeCell ref="D209:J209"/>
    <mergeCell ref="K181:Q181"/>
    <mergeCell ref="K182:Q182"/>
    <mergeCell ref="K183:Q183"/>
    <mergeCell ref="K184:Q184"/>
    <mergeCell ref="K185:Q185"/>
    <mergeCell ref="K186:Q186"/>
    <mergeCell ref="K187:Q187"/>
    <mergeCell ref="K188:Q188"/>
    <mergeCell ref="K189:Q189"/>
    <mergeCell ref="K190:Q190"/>
    <mergeCell ref="K191:Q191"/>
    <mergeCell ref="K192:Q192"/>
    <mergeCell ref="K193:Q193"/>
    <mergeCell ref="K194:Q194"/>
    <mergeCell ref="K195:Q195"/>
    <mergeCell ref="K196:Q196"/>
    <mergeCell ref="K197:Q197"/>
    <mergeCell ref="K198:Q198"/>
    <mergeCell ref="K199:Q199"/>
    <mergeCell ref="K200:Q200"/>
    <mergeCell ref="K201:Q201"/>
    <mergeCell ref="K202:Q202"/>
    <mergeCell ref="D199:J199"/>
    <mergeCell ref="D200:J200"/>
    <mergeCell ref="D201:J201"/>
    <mergeCell ref="D202:J202"/>
    <mergeCell ref="D203:J203"/>
    <mergeCell ref="D204:J204"/>
    <mergeCell ref="D205:J205"/>
    <mergeCell ref="D206:J206"/>
    <mergeCell ref="D207:J207"/>
    <mergeCell ref="D190:J190"/>
    <mergeCell ref="D191:J191"/>
    <mergeCell ref="D192:J192"/>
    <mergeCell ref="D193:J193"/>
    <mergeCell ref="D194:J194"/>
    <mergeCell ref="D195:J195"/>
    <mergeCell ref="D196:J196"/>
    <mergeCell ref="D197:J197"/>
    <mergeCell ref="D198:J198"/>
    <mergeCell ref="D181:J181"/>
    <mergeCell ref="D182:J182"/>
    <mergeCell ref="D183:J183"/>
    <mergeCell ref="D184:J184"/>
    <mergeCell ref="D185:J185"/>
    <mergeCell ref="D186:J186"/>
    <mergeCell ref="D187:J187"/>
    <mergeCell ref="D188:J188"/>
    <mergeCell ref="D189:J189"/>
    <mergeCell ref="D178:J178"/>
    <mergeCell ref="K178:Q178"/>
    <mergeCell ref="T178:V178"/>
    <mergeCell ref="X178:Z178"/>
    <mergeCell ref="D177:J177"/>
    <mergeCell ref="K177:Q177"/>
    <mergeCell ref="T177:V177"/>
    <mergeCell ref="X177:Z177"/>
    <mergeCell ref="D180:J180"/>
    <mergeCell ref="K180:Q180"/>
    <mergeCell ref="T180:V180"/>
    <mergeCell ref="X180:Z180"/>
    <mergeCell ref="D179:J179"/>
    <mergeCell ref="K179:Q179"/>
    <mergeCell ref="T179:V179"/>
    <mergeCell ref="X179:Z179"/>
    <mergeCell ref="D174:J174"/>
    <mergeCell ref="K174:Q174"/>
    <mergeCell ref="T174:V174"/>
    <mergeCell ref="X174:Z174"/>
    <mergeCell ref="D173:J173"/>
    <mergeCell ref="K173:Q173"/>
    <mergeCell ref="T173:V173"/>
    <mergeCell ref="X173:Z173"/>
    <mergeCell ref="D176:J176"/>
    <mergeCell ref="K176:Q176"/>
    <mergeCell ref="T176:V176"/>
    <mergeCell ref="X176:Z176"/>
    <mergeCell ref="D175:J175"/>
    <mergeCell ref="K175:Q175"/>
    <mergeCell ref="T175:V175"/>
    <mergeCell ref="X175:Z175"/>
    <mergeCell ref="D170:J170"/>
    <mergeCell ref="K170:Q170"/>
    <mergeCell ref="T170:V170"/>
    <mergeCell ref="X170:Z170"/>
    <mergeCell ref="D169:J169"/>
    <mergeCell ref="K169:Q169"/>
    <mergeCell ref="T169:V169"/>
    <mergeCell ref="X169:Z169"/>
    <mergeCell ref="D172:J172"/>
    <mergeCell ref="K172:Q172"/>
    <mergeCell ref="T172:V172"/>
    <mergeCell ref="X172:Z172"/>
    <mergeCell ref="D171:J171"/>
    <mergeCell ref="K171:Q171"/>
    <mergeCell ref="T171:V171"/>
    <mergeCell ref="X171:Z171"/>
    <mergeCell ref="D166:J166"/>
    <mergeCell ref="K166:Q166"/>
    <mergeCell ref="T166:V166"/>
    <mergeCell ref="X166:Z166"/>
    <mergeCell ref="D165:J165"/>
    <mergeCell ref="K165:Q165"/>
    <mergeCell ref="T165:V165"/>
    <mergeCell ref="X165:Z165"/>
    <mergeCell ref="D168:J168"/>
    <mergeCell ref="K168:Q168"/>
    <mergeCell ref="T168:V168"/>
    <mergeCell ref="X168:Z168"/>
    <mergeCell ref="D167:J167"/>
    <mergeCell ref="K167:Q167"/>
    <mergeCell ref="T167:V167"/>
    <mergeCell ref="X167:Z167"/>
    <mergeCell ref="D162:J162"/>
    <mergeCell ref="K162:Q162"/>
    <mergeCell ref="T162:V162"/>
    <mergeCell ref="X162:Z162"/>
    <mergeCell ref="D161:J161"/>
    <mergeCell ref="K161:Q161"/>
    <mergeCell ref="T161:V161"/>
    <mergeCell ref="X161:Z161"/>
    <mergeCell ref="D164:J164"/>
    <mergeCell ref="K164:Q164"/>
    <mergeCell ref="T164:V164"/>
    <mergeCell ref="X164:Z164"/>
    <mergeCell ref="D163:J163"/>
    <mergeCell ref="K163:Q163"/>
    <mergeCell ref="T163:V163"/>
    <mergeCell ref="X163:Z163"/>
    <mergeCell ref="D158:J158"/>
    <mergeCell ref="K158:Q158"/>
    <mergeCell ref="T158:V158"/>
    <mergeCell ref="X158:Z158"/>
    <mergeCell ref="D157:J157"/>
    <mergeCell ref="K157:Q157"/>
    <mergeCell ref="T157:V157"/>
    <mergeCell ref="X157:Z157"/>
    <mergeCell ref="D160:J160"/>
    <mergeCell ref="K160:Q160"/>
    <mergeCell ref="T160:V160"/>
    <mergeCell ref="X160:Z160"/>
    <mergeCell ref="D159:J159"/>
    <mergeCell ref="K159:Q159"/>
    <mergeCell ref="T159:V159"/>
    <mergeCell ref="X159:Z159"/>
    <mergeCell ref="D154:J154"/>
    <mergeCell ref="K154:Q154"/>
    <mergeCell ref="T154:V154"/>
    <mergeCell ref="X154:Z154"/>
    <mergeCell ref="D153:J153"/>
    <mergeCell ref="K153:Q153"/>
    <mergeCell ref="T153:V153"/>
    <mergeCell ref="X153:Z153"/>
    <mergeCell ref="D156:J156"/>
    <mergeCell ref="K156:Q156"/>
    <mergeCell ref="T156:V156"/>
    <mergeCell ref="X156:Z156"/>
    <mergeCell ref="D155:J155"/>
    <mergeCell ref="K155:Q155"/>
    <mergeCell ref="T155:V155"/>
    <mergeCell ref="X155:Z155"/>
    <mergeCell ref="D150:J150"/>
    <mergeCell ref="K150:Q150"/>
    <mergeCell ref="T150:V150"/>
    <mergeCell ref="X150:Z150"/>
    <mergeCell ref="D149:J149"/>
    <mergeCell ref="K149:Q149"/>
    <mergeCell ref="T149:V149"/>
    <mergeCell ref="X149:Z149"/>
    <mergeCell ref="D152:J152"/>
    <mergeCell ref="K152:Q152"/>
    <mergeCell ref="T152:V152"/>
    <mergeCell ref="X152:Z152"/>
    <mergeCell ref="D151:J151"/>
    <mergeCell ref="K151:Q151"/>
    <mergeCell ref="T151:V151"/>
    <mergeCell ref="X151:Z151"/>
    <mergeCell ref="D146:J146"/>
    <mergeCell ref="K146:Q146"/>
    <mergeCell ref="T146:V146"/>
    <mergeCell ref="X146:Z146"/>
    <mergeCell ref="D145:J145"/>
    <mergeCell ref="K145:Q145"/>
    <mergeCell ref="T145:V145"/>
    <mergeCell ref="X145:Z145"/>
    <mergeCell ref="D148:J148"/>
    <mergeCell ref="K148:Q148"/>
    <mergeCell ref="T148:V148"/>
    <mergeCell ref="X148:Z148"/>
    <mergeCell ref="D147:J147"/>
    <mergeCell ref="K147:Q147"/>
    <mergeCell ref="T147:V147"/>
    <mergeCell ref="X147:Z147"/>
    <mergeCell ref="D142:J142"/>
    <mergeCell ref="K142:Q142"/>
    <mergeCell ref="T142:V142"/>
    <mergeCell ref="X142:Z142"/>
    <mergeCell ref="D141:J141"/>
    <mergeCell ref="K141:Q141"/>
    <mergeCell ref="T141:V141"/>
    <mergeCell ref="X141:Z141"/>
    <mergeCell ref="D144:J144"/>
    <mergeCell ref="K144:Q144"/>
    <mergeCell ref="T144:V144"/>
    <mergeCell ref="X144:Z144"/>
    <mergeCell ref="D143:J143"/>
    <mergeCell ref="K143:Q143"/>
    <mergeCell ref="T143:V143"/>
    <mergeCell ref="X143:Z143"/>
    <mergeCell ref="D138:J138"/>
    <mergeCell ref="K138:Q138"/>
    <mergeCell ref="T138:V138"/>
    <mergeCell ref="X138:Z138"/>
    <mergeCell ref="D137:J137"/>
    <mergeCell ref="K137:Q137"/>
    <mergeCell ref="T137:V137"/>
    <mergeCell ref="X137:Z137"/>
    <mergeCell ref="D140:J140"/>
    <mergeCell ref="K140:Q140"/>
    <mergeCell ref="T140:V140"/>
    <mergeCell ref="X140:Z140"/>
    <mergeCell ref="D139:J139"/>
    <mergeCell ref="K139:Q139"/>
    <mergeCell ref="T139:V139"/>
    <mergeCell ref="X139:Z139"/>
    <mergeCell ref="D134:J134"/>
    <mergeCell ref="K134:Q134"/>
    <mergeCell ref="T134:V134"/>
    <mergeCell ref="X134:Z134"/>
    <mergeCell ref="D133:J133"/>
    <mergeCell ref="K133:Q133"/>
    <mergeCell ref="T133:V133"/>
    <mergeCell ref="X133:Z133"/>
    <mergeCell ref="D136:J136"/>
    <mergeCell ref="K136:Q136"/>
    <mergeCell ref="T136:V136"/>
    <mergeCell ref="X136:Z136"/>
    <mergeCell ref="D135:J135"/>
    <mergeCell ref="K135:Q135"/>
    <mergeCell ref="T135:V135"/>
    <mergeCell ref="X135:Z135"/>
    <mergeCell ref="D130:J130"/>
    <mergeCell ref="K130:Q130"/>
    <mergeCell ref="T130:V130"/>
    <mergeCell ref="X130:Z130"/>
    <mergeCell ref="D129:J129"/>
    <mergeCell ref="K129:Q129"/>
    <mergeCell ref="T129:V129"/>
    <mergeCell ref="X129:Z129"/>
    <mergeCell ref="D132:J132"/>
    <mergeCell ref="K132:Q132"/>
    <mergeCell ref="T132:V132"/>
    <mergeCell ref="X132:Z132"/>
    <mergeCell ref="D131:J131"/>
    <mergeCell ref="K131:Q131"/>
    <mergeCell ref="T131:V131"/>
    <mergeCell ref="X131:Z131"/>
    <mergeCell ref="D126:J126"/>
    <mergeCell ref="K126:Q126"/>
    <mergeCell ref="T126:V126"/>
    <mergeCell ref="X126:Z126"/>
    <mergeCell ref="D125:J125"/>
    <mergeCell ref="K125:Q125"/>
    <mergeCell ref="T125:V125"/>
    <mergeCell ref="X125:Z125"/>
    <mergeCell ref="D128:J128"/>
    <mergeCell ref="K128:Q128"/>
    <mergeCell ref="T128:V128"/>
    <mergeCell ref="X128:Z128"/>
    <mergeCell ref="D127:J127"/>
    <mergeCell ref="K127:Q127"/>
    <mergeCell ref="T127:V127"/>
    <mergeCell ref="X127:Z127"/>
    <mergeCell ref="D122:J122"/>
    <mergeCell ref="K122:Q122"/>
    <mergeCell ref="T122:V122"/>
    <mergeCell ref="X122:Z122"/>
    <mergeCell ref="D121:J121"/>
    <mergeCell ref="K121:Q121"/>
    <mergeCell ref="T121:V121"/>
    <mergeCell ref="X121:Z121"/>
    <mergeCell ref="D124:J124"/>
    <mergeCell ref="K124:Q124"/>
    <mergeCell ref="T124:V124"/>
    <mergeCell ref="X124:Z124"/>
    <mergeCell ref="D123:J123"/>
    <mergeCell ref="K123:Q123"/>
    <mergeCell ref="T123:V123"/>
    <mergeCell ref="X123:Z123"/>
    <mergeCell ref="D118:J118"/>
    <mergeCell ref="K118:Q118"/>
    <mergeCell ref="T118:V118"/>
    <mergeCell ref="X118:Z118"/>
    <mergeCell ref="D117:J117"/>
    <mergeCell ref="K117:Q117"/>
    <mergeCell ref="T117:V117"/>
    <mergeCell ref="X117:Z117"/>
    <mergeCell ref="D120:J120"/>
    <mergeCell ref="K120:Q120"/>
    <mergeCell ref="T120:V120"/>
    <mergeCell ref="X120:Z120"/>
    <mergeCell ref="D119:J119"/>
    <mergeCell ref="K119:Q119"/>
    <mergeCell ref="T119:V119"/>
    <mergeCell ref="X119:Z119"/>
    <mergeCell ref="D114:J114"/>
    <mergeCell ref="K114:Q114"/>
    <mergeCell ref="T114:V114"/>
    <mergeCell ref="X114:Z114"/>
    <mergeCell ref="D113:J113"/>
    <mergeCell ref="K113:Q113"/>
    <mergeCell ref="T113:V113"/>
    <mergeCell ref="X113:Z113"/>
    <mergeCell ref="D116:J116"/>
    <mergeCell ref="K116:Q116"/>
    <mergeCell ref="T116:V116"/>
    <mergeCell ref="X116:Z116"/>
    <mergeCell ref="D115:J115"/>
    <mergeCell ref="K115:Q115"/>
    <mergeCell ref="T115:V115"/>
    <mergeCell ref="X115:Z115"/>
    <mergeCell ref="D110:J110"/>
    <mergeCell ref="K110:Q110"/>
    <mergeCell ref="T110:V110"/>
    <mergeCell ref="X110:Z110"/>
    <mergeCell ref="D109:J109"/>
    <mergeCell ref="K109:Q109"/>
    <mergeCell ref="T109:V109"/>
    <mergeCell ref="X109:Z109"/>
    <mergeCell ref="D112:J112"/>
    <mergeCell ref="K112:Q112"/>
    <mergeCell ref="T112:V112"/>
    <mergeCell ref="X112:Z112"/>
    <mergeCell ref="D111:J111"/>
    <mergeCell ref="K111:Q111"/>
    <mergeCell ref="T111:V111"/>
    <mergeCell ref="X111:Z111"/>
    <mergeCell ref="D106:J106"/>
    <mergeCell ref="K106:Q106"/>
    <mergeCell ref="T106:V106"/>
    <mergeCell ref="X106:Z106"/>
    <mergeCell ref="D105:J105"/>
    <mergeCell ref="K105:Q105"/>
    <mergeCell ref="T105:V105"/>
    <mergeCell ref="X105:Z105"/>
    <mergeCell ref="D108:J108"/>
    <mergeCell ref="K108:Q108"/>
    <mergeCell ref="T108:V108"/>
    <mergeCell ref="X108:Z108"/>
    <mergeCell ref="D107:J107"/>
    <mergeCell ref="K107:Q107"/>
    <mergeCell ref="T107:V107"/>
    <mergeCell ref="X107:Z107"/>
    <mergeCell ref="D102:J102"/>
    <mergeCell ref="K102:Q102"/>
    <mergeCell ref="T102:V102"/>
    <mergeCell ref="X102:Z102"/>
    <mergeCell ref="D101:J101"/>
    <mergeCell ref="K101:Q101"/>
    <mergeCell ref="T101:V101"/>
    <mergeCell ref="X101:Z101"/>
    <mergeCell ref="D104:J104"/>
    <mergeCell ref="K104:Q104"/>
    <mergeCell ref="T104:V104"/>
    <mergeCell ref="X104:Z104"/>
    <mergeCell ref="D103:J103"/>
    <mergeCell ref="K103:Q103"/>
    <mergeCell ref="T103:V103"/>
    <mergeCell ref="X103:Z103"/>
    <mergeCell ref="D98:J98"/>
    <mergeCell ref="K98:Q98"/>
    <mergeCell ref="T98:V98"/>
    <mergeCell ref="X98:Z98"/>
    <mergeCell ref="D97:J97"/>
    <mergeCell ref="K97:Q97"/>
    <mergeCell ref="T97:V97"/>
    <mergeCell ref="X97:Z97"/>
    <mergeCell ref="D100:J100"/>
    <mergeCell ref="K100:Q100"/>
    <mergeCell ref="T100:V100"/>
    <mergeCell ref="X100:Z100"/>
    <mergeCell ref="D99:J99"/>
    <mergeCell ref="K99:Q99"/>
    <mergeCell ref="T99:V99"/>
    <mergeCell ref="X99:Z99"/>
    <mergeCell ref="D94:J94"/>
    <mergeCell ref="K94:Q94"/>
    <mergeCell ref="T94:V94"/>
    <mergeCell ref="X94:Z94"/>
    <mergeCell ref="D93:J93"/>
    <mergeCell ref="K93:Q93"/>
    <mergeCell ref="T93:V93"/>
    <mergeCell ref="X93:Z93"/>
    <mergeCell ref="D96:J96"/>
    <mergeCell ref="K96:Q96"/>
    <mergeCell ref="T96:V96"/>
    <mergeCell ref="X96:Z96"/>
    <mergeCell ref="D95:J95"/>
    <mergeCell ref="K95:Q95"/>
    <mergeCell ref="T95:V95"/>
    <mergeCell ref="X95:Z95"/>
    <mergeCell ref="D90:J90"/>
    <mergeCell ref="K90:Q90"/>
    <mergeCell ref="T90:V90"/>
    <mergeCell ref="X90:Z90"/>
    <mergeCell ref="D89:J89"/>
    <mergeCell ref="K89:Q89"/>
    <mergeCell ref="T89:V89"/>
    <mergeCell ref="X89:Z89"/>
    <mergeCell ref="D92:J92"/>
    <mergeCell ref="K92:Q92"/>
    <mergeCell ref="T92:V92"/>
    <mergeCell ref="X92:Z92"/>
    <mergeCell ref="D91:J91"/>
    <mergeCell ref="K91:Q91"/>
    <mergeCell ref="T91:V91"/>
    <mergeCell ref="X91:Z91"/>
    <mergeCell ref="D86:J86"/>
    <mergeCell ref="K86:Q86"/>
    <mergeCell ref="T86:V86"/>
    <mergeCell ref="X86:Z86"/>
    <mergeCell ref="D85:J85"/>
    <mergeCell ref="K85:Q85"/>
    <mergeCell ref="T85:V85"/>
    <mergeCell ref="X85:Z85"/>
    <mergeCell ref="D88:J88"/>
    <mergeCell ref="K88:Q88"/>
    <mergeCell ref="T88:V88"/>
    <mergeCell ref="X88:Z88"/>
    <mergeCell ref="D87:J87"/>
    <mergeCell ref="K87:Q87"/>
    <mergeCell ref="T87:V87"/>
    <mergeCell ref="X87:Z87"/>
    <mergeCell ref="D82:J82"/>
    <mergeCell ref="K82:Q82"/>
    <mergeCell ref="T82:V82"/>
    <mergeCell ref="X82:Z82"/>
    <mergeCell ref="D81:J81"/>
    <mergeCell ref="K81:Q81"/>
    <mergeCell ref="T81:V81"/>
    <mergeCell ref="X81:Z81"/>
    <mergeCell ref="D84:J84"/>
    <mergeCell ref="K84:Q84"/>
    <mergeCell ref="T84:V84"/>
    <mergeCell ref="X84:Z84"/>
    <mergeCell ref="D83:J83"/>
    <mergeCell ref="K83:Q83"/>
    <mergeCell ref="T83:V83"/>
    <mergeCell ref="X83:Z83"/>
    <mergeCell ref="D78:J78"/>
    <mergeCell ref="K78:Q78"/>
    <mergeCell ref="T78:V78"/>
    <mergeCell ref="X78:Z78"/>
    <mergeCell ref="D77:J77"/>
    <mergeCell ref="K77:Q77"/>
    <mergeCell ref="T77:V77"/>
    <mergeCell ref="X77:Z77"/>
    <mergeCell ref="D80:J80"/>
    <mergeCell ref="K80:Q80"/>
    <mergeCell ref="T80:V80"/>
    <mergeCell ref="X80:Z80"/>
    <mergeCell ref="D79:J79"/>
    <mergeCell ref="K79:Q79"/>
    <mergeCell ref="T79:V79"/>
    <mergeCell ref="X79:Z79"/>
    <mergeCell ref="D74:J74"/>
    <mergeCell ref="K74:Q74"/>
    <mergeCell ref="T74:V74"/>
    <mergeCell ref="X74:Z74"/>
    <mergeCell ref="D73:J73"/>
    <mergeCell ref="K73:Q73"/>
    <mergeCell ref="T73:V73"/>
    <mergeCell ref="X73:Z73"/>
    <mergeCell ref="D76:J76"/>
    <mergeCell ref="K76:Q76"/>
    <mergeCell ref="T76:V76"/>
    <mergeCell ref="X76:Z76"/>
    <mergeCell ref="D75:J75"/>
    <mergeCell ref="K75:Q75"/>
    <mergeCell ref="T75:V75"/>
    <mergeCell ref="X75:Z75"/>
    <mergeCell ref="D70:J70"/>
    <mergeCell ref="K70:Q70"/>
    <mergeCell ref="T70:V70"/>
    <mergeCell ref="X70:Z70"/>
    <mergeCell ref="D69:J69"/>
    <mergeCell ref="K69:Q69"/>
    <mergeCell ref="T69:V69"/>
    <mergeCell ref="X69:Z69"/>
    <mergeCell ref="D72:J72"/>
    <mergeCell ref="K72:Q72"/>
    <mergeCell ref="T72:V72"/>
    <mergeCell ref="X72:Z72"/>
    <mergeCell ref="D71:J71"/>
    <mergeCell ref="K71:Q71"/>
    <mergeCell ref="T71:V71"/>
    <mergeCell ref="X71:Z71"/>
    <mergeCell ref="D66:J66"/>
    <mergeCell ref="K66:Q66"/>
    <mergeCell ref="T66:V66"/>
    <mergeCell ref="X66:Z66"/>
    <mergeCell ref="D65:J65"/>
    <mergeCell ref="K65:Q65"/>
    <mergeCell ref="T65:V65"/>
    <mergeCell ref="X65:Z65"/>
    <mergeCell ref="D68:J68"/>
    <mergeCell ref="K68:Q68"/>
    <mergeCell ref="T68:V68"/>
    <mergeCell ref="X68:Z68"/>
    <mergeCell ref="D67:J67"/>
    <mergeCell ref="K67:Q67"/>
    <mergeCell ref="T67:V67"/>
    <mergeCell ref="X67:Z67"/>
    <mergeCell ref="D62:J62"/>
    <mergeCell ref="K62:Q62"/>
    <mergeCell ref="T62:V62"/>
    <mergeCell ref="X62:Z62"/>
    <mergeCell ref="D61:J61"/>
    <mergeCell ref="K61:Q61"/>
    <mergeCell ref="T61:V61"/>
    <mergeCell ref="X61:Z61"/>
    <mergeCell ref="D64:J64"/>
    <mergeCell ref="K64:Q64"/>
    <mergeCell ref="T64:V64"/>
    <mergeCell ref="X64:Z64"/>
    <mergeCell ref="D63:J63"/>
    <mergeCell ref="K63:Q63"/>
    <mergeCell ref="T63:V63"/>
    <mergeCell ref="X63:Z63"/>
    <mergeCell ref="D58:J58"/>
    <mergeCell ref="K58:Q58"/>
    <mergeCell ref="T58:V58"/>
    <mergeCell ref="X58:Z58"/>
    <mergeCell ref="D57:J57"/>
    <mergeCell ref="K57:Q57"/>
    <mergeCell ref="T57:V57"/>
    <mergeCell ref="X57:Z57"/>
    <mergeCell ref="D60:J60"/>
    <mergeCell ref="K60:Q60"/>
    <mergeCell ref="T60:V60"/>
    <mergeCell ref="X60:Z60"/>
    <mergeCell ref="D59:J59"/>
    <mergeCell ref="K59:Q59"/>
    <mergeCell ref="T59:V59"/>
    <mergeCell ref="X59:Z59"/>
    <mergeCell ref="D54:J54"/>
    <mergeCell ref="K54:Q54"/>
    <mergeCell ref="T54:V54"/>
    <mergeCell ref="X54:Z54"/>
    <mergeCell ref="D53:J53"/>
    <mergeCell ref="K53:Q53"/>
    <mergeCell ref="T53:V53"/>
    <mergeCell ref="X53:Z53"/>
    <mergeCell ref="D56:J56"/>
    <mergeCell ref="K56:Q56"/>
    <mergeCell ref="T56:V56"/>
    <mergeCell ref="X56:Z56"/>
    <mergeCell ref="D55:J55"/>
    <mergeCell ref="K55:Q55"/>
    <mergeCell ref="T55:V55"/>
    <mergeCell ref="X55:Z55"/>
    <mergeCell ref="D50:J50"/>
    <mergeCell ref="K50:Q50"/>
    <mergeCell ref="T50:V50"/>
    <mergeCell ref="X50:Z50"/>
    <mergeCell ref="D49:J49"/>
    <mergeCell ref="K49:Q49"/>
    <mergeCell ref="T49:V49"/>
    <mergeCell ref="X49:Z49"/>
    <mergeCell ref="D52:J52"/>
    <mergeCell ref="K52:Q52"/>
    <mergeCell ref="T52:V52"/>
    <mergeCell ref="X52:Z52"/>
    <mergeCell ref="D51:J51"/>
    <mergeCell ref="K51:Q51"/>
    <mergeCell ref="T51:V51"/>
    <mergeCell ref="X51:Z51"/>
    <mergeCell ref="D46:J46"/>
    <mergeCell ref="K46:Q46"/>
    <mergeCell ref="T46:V46"/>
    <mergeCell ref="X46:Z46"/>
    <mergeCell ref="D45:J45"/>
    <mergeCell ref="K45:Q45"/>
    <mergeCell ref="T45:V45"/>
    <mergeCell ref="X45:Z45"/>
    <mergeCell ref="D48:J48"/>
    <mergeCell ref="K48:Q48"/>
    <mergeCell ref="T48:V48"/>
    <mergeCell ref="X48:Z48"/>
    <mergeCell ref="D47:J47"/>
    <mergeCell ref="K47:Q47"/>
    <mergeCell ref="T47:V47"/>
    <mergeCell ref="X47:Z47"/>
    <mergeCell ref="D42:J42"/>
    <mergeCell ref="K42:Q42"/>
    <mergeCell ref="T42:V42"/>
    <mergeCell ref="X42:Z42"/>
    <mergeCell ref="D41:J41"/>
    <mergeCell ref="K41:Q41"/>
    <mergeCell ref="T41:V41"/>
    <mergeCell ref="X41:Z41"/>
    <mergeCell ref="D44:J44"/>
    <mergeCell ref="K44:Q44"/>
    <mergeCell ref="T44:V44"/>
    <mergeCell ref="X44:Z44"/>
    <mergeCell ref="D43:J43"/>
    <mergeCell ref="K43:Q43"/>
    <mergeCell ref="T43:V43"/>
    <mergeCell ref="X43:Z43"/>
    <mergeCell ref="D38:J38"/>
    <mergeCell ref="K38:Q38"/>
    <mergeCell ref="T38:V38"/>
    <mergeCell ref="X38:Z38"/>
    <mergeCell ref="D37:J37"/>
    <mergeCell ref="K37:Q37"/>
    <mergeCell ref="T37:V37"/>
    <mergeCell ref="X37:Z37"/>
    <mergeCell ref="D40:J40"/>
    <mergeCell ref="K40:Q40"/>
    <mergeCell ref="T40:V40"/>
    <mergeCell ref="X40:Z40"/>
    <mergeCell ref="D39:J39"/>
    <mergeCell ref="K39:Q39"/>
    <mergeCell ref="T39:V39"/>
    <mergeCell ref="X39:Z39"/>
    <mergeCell ref="D34:J34"/>
    <mergeCell ref="K34:Q34"/>
    <mergeCell ref="T34:V34"/>
    <mergeCell ref="X34:Z34"/>
    <mergeCell ref="D33:J33"/>
    <mergeCell ref="K33:Q33"/>
    <mergeCell ref="T33:V33"/>
    <mergeCell ref="X33:Z33"/>
    <mergeCell ref="D36:J36"/>
    <mergeCell ref="K36:Q36"/>
    <mergeCell ref="T36:V36"/>
    <mergeCell ref="X36:Z36"/>
    <mergeCell ref="D35:J35"/>
    <mergeCell ref="K35:Q35"/>
    <mergeCell ref="T35:V35"/>
    <mergeCell ref="X35:Z35"/>
    <mergeCell ref="D30:J30"/>
    <mergeCell ref="K30:Q30"/>
    <mergeCell ref="T30:V30"/>
    <mergeCell ref="X30:Z30"/>
    <mergeCell ref="D29:J29"/>
    <mergeCell ref="K29:Q29"/>
    <mergeCell ref="T29:V29"/>
    <mergeCell ref="X29:Z29"/>
    <mergeCell ref="D32:J32"/>
    <mergeCell ref="K32:Q32"/>
    <mergeCell ref="T32:V32"/>
    <mergeCell ref="X32:Z32"/>
    <mergeCell ref="D31:J31"/>
    <mergeCell ref="K31:Q31"/>
    <mergeCell ref="T31:V31"/>
    <mergeCell ref="X31:Z31"/>
    <mergeCell ref="D26:J26"/>
    <mergeCell ref="K26:Q26"/>
    <mergeCell ref="T26:V26"/>
    <mergeCell ref="X26:Z26"/>
    <mergeCell ref="D25:J25"/>
    <mergeCell ref="K25:Q25"/>
    <mergeCell ref="T25:V25"/>
    <mergeCell ref="X25:Z25"/>
    <mergeCell ref="D28:J28"/>
    <mergeCell ref="K28:Q28"/>
    <mergeCell ref="T28:V28"/>
    <mergeCell ref="X28:Z28"/>
    <mergeCell ref="D27:J27"/>
    <mergeCell ref="K27:Q27"/>
    <mergeCell ref="T27:V27"/>
    <mergeCell ref="X27:Z27"/>
    <mergeCell ref="D22:J22"/>
    <mergeCell ref="K22:Q22"/>
    <mergeCell ref="T22:V22"/>
    <mergeCell ref="X22:Z22"/>
    <mergeCell ref="D21:J21"/>
    <mergeCell ref="K21:Q21"/>
    <mergeCell ref="T21:V21"/>
    <mergeCell ref="X21:Z21"/>
    <mergeCell ref="D24:J24"/>
    <mergeCell ref="K24:Q24"/>
    <mergeCell ref="T24:V24"/>
    <mergeCell ref="X24:Z24"/>
    <mergeCell ref="D23:J23"/>
    <mergeCell ref="K23:Q23"/>
    <mergeCell ref="T23:V23"/>
    <mergeCell ref="X23:Z23"/>
    <mergeCell ref="D18:J18"/>
    <mergeCell ref="K18:Q18"/>
    <mergeCell ref="T18:V18"/>
    <mergeCell ref="X18:Z18"/>
    <mergeCell ref="D17:J17"/>
    <mergeCell ref="K17:Q17"/>
    <mergeCell ref="T17:V17"/>
    <mergeCell ref="X17:Z17"/>
    <mergeCell ref="D20:J20"/>
    <mergeCell ref="K20:Q20"/>
    <mergeCell ref="T20:V20"/>
    <mergeCell ref="X20:Z20"/>
    <mergeCell ref="D19:J19"/>
    <mergeCell ref="K19:Q19"/>
    <mergeCell ref="T19:V19"/>
    <mergeCell ref="X19:Z19"/>
    <mergeCell ref="D14:J14"/>
    <mergeCell ref="K14:Q14"/>
    <mergeCell ref="T14:V14"/>
    <mergeCell ref="X14:Z14"/>
    <mergeCell ref="D13:J13"/>
    <mergeCell ref="K13:Q13"/>
    <mergeCell ref="T13:V13"/>
    <mergeCell ref="X13:Z13"/>
    <mergeCell ref="D16:J16"/>
    <mergeCell ref="K16:Q16"/>
    <mergeCell ref="T16:V16"/>
    <mergeCell ref="X16:Z16"/>
    <mergeCell ref="D15:J15"/>
    <mergeCell ref="K15:Q15"/>
    <mergeCell ref="T15:V15"/>
    <mergeCell ref="X15:Z15"/>
    <mergeCell ref="X9:Z9"/>
    <mergeCell ref="D10:J10"/>
    <mergeCell ref="K10:Q10"/>
    <mergeCell ref="T10:V10"/>
    <mergeCell ref="X10:Z10"/>
    <mergeCell ref="D12:J12"/>
    <mergeCell ref="K12:Q12"/>
    <mergeCell ref="T12:V12"/>
    <mergeCell ref="X12:Z12"/>
    <mergeCell ref="D11:J11"/>
    <mergeCell ref="K11:Q11"/>
    <mergeCell ref="T11:V11"/>
    <mergeCell ref="X11:Z11"/>
    <mergeCell ref="F1:AA1"/>
    <mergeCell ref="H3:P3"/>
    <mergeCell ref="X3:AA3"/>
    <mergeCell ref="H4:P4"/>
    <mergeCell ref="X4:AA4"/>
    <mergeCell ref="H5:I5"/>
    <mergeCell ref="X5:AA5"/>
    <mergeCell ref="H6:P6"/>
    <mergeCell ref="X6:AA6"/>
  </mergeCells>
  <pageMargins left="0.5118110236220472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sheetPr>
  <dimension ref="A2:E204"/>
  <sheetViews>
    <sheetView workbookViewId="0">
      <selection activeCell="D18" sqref="D18"/>
    </sheetView>
  </sheetViews>
  <sheetFormatPr defaultRowHeight="13.15"/>
  <cols>
    <col min="1" max="1" width="5.85546875" customWidth="1"/>
    <col min="2" max="2" width="19.7109375" customWidth="1"/>
    <col min="4" max="4" width="22.85546875" customWidth="1"/>
    <col min="5" max="5" width="10.140625" customWidth="1"/>
  </cols>
  <sheetData>
    <row r="2" spans="1:5">
      <c r="A2" t="str">
        <f>CONCATENATE(FacingSheet!B8," ",FacingSheet!B11)</f>
        <v>Ronnie MacDonald 10 mile TT 10</v>
      </c>
      <c r="E2" s="33">
        <f>IF(ISERROR(FacingSheet!S9),"",FacingSheet!S9)</f>
        <v>45907</v>
      </c>
    </row>
    <row r="4" spans="1:5">
      <c r="A4" s="30" t="s">
        <v>103</v>
      </c>
      <c r="B4" s="30" t="s">
        <v>41</v>
      </c>
      <c r="C4" s="30" t="s">
        <v>112</v>
      </c>
      <c r="D4" s="30" t="s">
        <v>98</v>
      </c>
      <c r="E4" s="30" t="s">
        <v>101</v>
      </c>
    </row>
    <row r="5" spans="1:5">
      <c r="A5" s="105">
        <v>1</v>
      </c>
      <c r="B5" s="105" t="str">
        <f>IF(Fastest!$T10&lt;&gt;"",Fastest!D10,"")</f>
        <v>Oliver Pemberton</v>
      </c>
      <c r="C5" s="105" t="str">
        <f>IF(Fastest!$T10&lt;&gt;"",Fastest!$S10,"")</f>
        <v>1826973</v>
      </c>
      <c r="D5" s="105" t="str">
        <f>IF(Fastest!$T10&lt;&gt;"",Fastest!$K10,"")</f>
        <v>Vanelli-Project Go</v>
      </c>
      <c r="E5" s="113">
        <f>IF(Fastest!T10&lt;&gt;"",Fastest!T10,"")</f>
        <v>1.3599537037037202E-2</v>
      </c>
    </row>
    <row r="6" spans="1:5">
      <c r="A6" s="105">
        <v>2</v>
      </c>
      <c r="B6" s="105" t="str">
        <f>IF(Fastest!$T11&lt;&gt;"",Fastest!D11,"")</f>
        <v>Graham Hollinger</v>
      </c>
      <c r="C6" s="105" t="str">
        <f>IF(Fastest!$T11&lt;&gt;"",Fastest!$S11,"")</f>
        <v>1673941</v>
      </c>
      <c r="D6" s="105" t="str">
        <f>IF(Fastest!$T11&lt;&gt;"",Fastest!$K11,"")</f>
        <v>Torvelo Racing</v>
      </c>
      <c r="E6" s="113">
        <f>IF(Fastest!T11&lt;&gt;"",Fastest!T11,"")</f>
        <v>1.369212962962979E-2</v>
      </c>
    </row>
    <row r="7" spans="1:5">
      <c r="A7" s="105">
        <v>3</v>
      </c>
      <c r="B7" s="105" t="str">
        <f>IF(Fastest!$T12&lt;&gt;"",Fastest!D12,"")</f>
        <v>Matiss Robertson</v>
      </c>
      <c r="C7" s="105" t="str">
        <f>IF(Fastest!$T12&lt;&gt;"",Fastest!$S12,"")</f>
        <v>1458410</v>
      </c>
      <c r="D7" s="105" t="str">
        <f>IF(Fastest!$T12&lt;&gt;"",Fastest!$K12,"")</f>
        <v>RT23</v>
      </c>
      <c r="E7" s="113">
        <f>IF(Fastest!T12&lt;&gt;"",Fastest!T12,"")</f>
        <v>1.41319444444446E-2</v>
      </c>
    </row>
    <row r="8" spans="1:5">
      <c r="A8" s="105">
        <v>4</v>
      </c>
      <c r="B8" s="105" t="str">
        <f>IF(Fastest!$T13&lt;&gt;"",Fastest!D13,"")</f>
        <v>Chris Petrie</v>
      </c>
      <c r="C8" s="105" t="str">
        <f>IF(Fastest!$T13&lt;&gt;"",Fastest!$S13,"")</f>
        <v>1244492</v>
      </c>
      <c r="D8" s="105" t="str">
        <f>IF(Fastest!$T13&lt;&gt;"",Fastest!$K13,"")</f>
        <v>Aberdeen Wheelers Cycling Club</v>
      </c>
      <c r="E8" s="113">
        <f>IF(Fastest!T13&lt;&gt;"",Fastest!T13,"")</f>
        <v>1.4189814814814961E-2</v>
      </c>
    </row>
    <row r="9" spans="1:5">
      <c r="A9" s="105">
        <v>5</v>
      </c>
      <c r="B9" s="105" t="str">
        <f>IF(Fastest!$T14&lt;&gt;"",Fastest!D14,"")</f>
        <v>Garry Greenaway</v>
      </c>
      <c r="C9" s="105" t="str">
        <f>IF(Fastest!$T14&lt;&gt;"",Fastest!$S14,"")</f>
        <v>1554243</v>
      </c>
      <c r="D9" s="105" t="str">
        <f>IF(Fastest!$T14&lt;&gt;"",Fastest!$K14,"")</f>
        <v>Vanelli-Project Go</v>
      </c>
      <c r="E9" s="113">
        <f>IF(Fastest!T14&lt;&gt;"",Fastest!T14,"")</f>
        <v>1.4317129629629777E-2</v>
      </c>
    </row>
    <row r="10" spans="1:5">
      <c r="A10" s="105">
        <v>6</v>
      </c>
      <c r="B10" s="105" t="str">
        <f>IF(Fastest!$T15&lt;&gt;"",Fastest!D15,"")</f>
        <v>Daniel Long</v>
      </c>
      <c r="C10" s="105" t="str">
        <f>IF(Fastest!$T15&lt;&gt;"",Fastest!$S15,"")</f>
        <v>1382142</v>
      </c>
      <c r="D10" s="105" t="str">
        <f>IF(Fastest!$T15&lt;&gt;"",Fastest!$K15,"")</f>
        <v>Elgin CC</v>
      </c>
      <c r="E10" s="113">
        <f>IF(Fastest!T15&lt;&gt;"",Fastest!T15,"")</f>
        <v>1.4351851851851949E-2</v>
      </c>
    </row>
    <row r="11" spans="1:5">
      <c r="A11" s="105">
        <v>7</v>
      </c>
      <c r="B11" s="105" t="str">
        <f>IF(Fastest!$T16&lt;&gt;"",Fastest!D16,"")</f>
        <v>Robin Atkinson</v>
      </c>
      <c r="C11" s="105" t="str">
        <f>IF(Fastest!$T16&lt;&gt;"",Fastest!$S16,"")</f>
        <v>833363</v>
      </c>
      <c r="D11" s="105" t="str">
        <f>IF(Fastest!$T16&lt;&gt;"",Fastest!$K16,"")</f>
        <v>Shetland Wheelers</v>
      </c>
      <c r="E11" s="113">
        <f>IF(Fastest!T16&lt;&gt;"",Fastest!T16,"")</f>
        <v>1.4594907407407487E-2</v>
      </c>
    </row>
    <row r="12" spans="1:5">
      <c r="A12" s="105">
        <v>8</v>
      </c>
      <c r="B12" s="105" t="str">
        <f>IF(Fastest!$T17&lt;&gt;"",Fastest!D17,"")</f>
        <v>Alasdair Munro</v>
      </c>
      <c r="C12" s="105" t="str">
        <f>IF(Fastest!$T17&lt;&gt;"",Fastest!$S17,"")</f>
        <v>1108729</v>
      </c>
      <c r="D12" s="105" t="str">
        <f>IF(Fastest!$T17&lt;&gt;"",Fastest!$K17,"")</f>
        <v>RT23</v>
      </c>
      <c r="E12" s="113">
        <f>IF(Fastest!T17&lt;&gt;"",Fastest!T17,"")</f>
        <v>1.461805555555562E-2</v>
      </c>
    </row>
    <row r="13" spans="1:5">
      <c r="A13" s="105">
        <v>9</v>
      </c>
      <c r="B13" s="105" t="str">
        <f>IF(Fastest!$T18&lt;&gt;"",Fastest!D18,"")</f>
        <v>Scott Davidson</v>
      </c>
      <c r="C13" s="105" t="str">
        <f>IF(Fastest!$T18&lt;&gt;"",Fastest!$S18,"")</f>
        <v>1346317</v>
      </c>
      <c r="D13" s="105" t="str">
        <f>IF(Fastest!$T18&lt;&gt;"",Fastest!$K18,"")</f>
        <v>Moray Firth Cycling Club</v>
      </c>
      <c r="E13" s="113">
        <f>IF(Fastest!T18&lt;&gt;"",Fastest!T18,"")</f>
        <v>1.462962962962977E-2</v>
      </c>
    </row>
    <row r="14" spans="1:5">
      <c r="A14" s="105">
        <v>10</v>
      </c>
      <c r="B14" s="105" t="str">
        <f>IF(Fastest!$T19&lt;&gt;"",Fastest!D19,"")</f>
        <v>Tom Broadbent</v>
      </c>
      <c r="C14" s="105" t="str">
        <f>IF(Fastest!$T19&lt;&gt;"",Fastest!$S19,"")</f>
        <v>441717</v>
      </c>
      <c r="D14" s="105" t="str">
        <f>IF(Fastest!$T19&lt;&gt;"",Fastest!$K19,"")</f>
        <v>MGC RT</v>
      </c>
      <c r="E14" s="113">
        <f>IF(Fastest!T19&lt;&gt;"",Fastest!T19,"")</f>
        <v>1.467592592593E-2</v>
      </c>
    </row>
    <row r="15" spans="1:5">
      <c r="A15" s="105">
        <v>11</v>
      </c>
      <c r="B15" s="105" t="str">
        <f>IF(Fastest!$T20&lt;&gt;"",Fastest!D20,"")</f>
        <v>Colin Johnston</v>
      </c>
      <c r="C15" s="105" t="str">
        <f>IF(Fastest!$T20&lt;&gt;"",Fastest!$S20,"")</f>
        <v>1085571</v>
      </c>
      <c r="D15" s="105" t="str">
        <f>IF(Fastest!$T20&lt;&gt;"",Fastest!$K20,"")</f>
        <v>Vanelli-Project Go</v>
      </c>
      <c r="E15" s="113">
        <f>IF(Fastest!T20&lt;&gt;"",Fastest!T20,"")</f>
        <v>1.4814814814814947E-2</v>
      </c>
    </row>
    <row r="16" spans="1:5">
      <c r="A16" s="105">
        <v>12</v>
      </c>
      <c r="B16" s="105" t="str">
        <f>IF(Fastest!$T21&lt;&gt;"",Fastest!D21,"")</f>
        <v>Mark Dryburgh</v>
      </c>
      <c r="C16" s="105" t="str">
        <f>IF(Fastest!$T21&lt;&gt;"",Fastest!$S21,"")</f>
        <v>968561</v>
      </c>
      <c r="D16" s="105" t="str">
        <f>IF(Fastest!$T21&lt;&gt;"",Fastest!$K21,"")</f>
        <v>Ross-Shire RCC</v>
      </c>
      <c r="E16" s="113">
        <f>IF(Fastest!T21&lt;&gt;"",Fastest!T21,"")</f>
        <v>1.5370370370370534E-2</v>
      </c>
    </row>
    <row r="17" spans="1:5">
      <c r="A17" s="105">
        <v>13</v>
      </c>
      <c r="B17" s="105" t="str">
        <f>IF(Fastest!$T22&lt;&gt;"",Fastest!D22,"")</f>
        <v>Dean Cunningham</v>
      </c>
      <c r="C17" s="105" t="str">
        <f>IF(Fastest!$T22&lt;&gt;"",Fastest!$S22,"")</f>
        <v>1175717</v>
      </c>
      <c r="D17" s="105" t="str">
        <f>IF(Fastest!$T22&lt;&gt;"",Fastest!$K22,"")</f>
        <v>Torvelo Racing</v>
      </c>
      <c r="E17" s="113">
        <f>IF(Fastest!T22&lt;&gt;"",Fastest!T22,"")</f>
        <v>1.5509259259259445E-2</v>
      </c>
    </row>
    <row r="18" spans="1:5">
      <c r="A18" s="105">
        <v>14</v>
      </c>
      <c r="B18" s="105" t="str">
        <f>IF(Fastest!$T23&lt;&gt;"",Fastest!D23,"")</f>
        <v>Bruce Paterson</v>
      </c>
      <c r="C18" s="105" t="str">
        <f>IF(Fastest!$T23&lt;&gt;"",Fastest!$S23,"")</f>
        <v>1824581</v>
      </c>
      <c r="D18" s="105" t="str">
        <f>IF(Fastest!$T23&lt;&gt;"",Fastest!$K23,"")</f>
        <v>Moray Firth Cycling Club</v>
      </c>
      <c r="E18" s="113">
        <f>IF(Fastest!T23&lt;&gt;"",Fastest!T23,"")</f>
        <v>1.56481481481483E-2</v>
      </c>
    </row>
    <row r="19" spans="1:5">
      <c r="A19" s="105">
        <v>15</v>
      </c>
      <c r="B19" s="105" t="str">
        <f>IF(Fastest!$T24&lt;&gt;"",Fastest!D24,"")</f>
        <v>Kenneth McKenzie</v>
      </c>
      <c r="C19" s="105" t="str">
        <f>IF(Fastest!$T24&lt;&gt;"",Fastest!$S24,"")</f>
        <v>1823463</v>
      </c>
      <c r="D19" s="105" t="str">
        <f>IF(Fastest!$T24&lt;&gt;"",Fastest!$K24,"")</f>
        <v>Ross-Shire RCC</v>
      </c>
      <c r="E19" s="113">
        <f>IF(Fastest!T24&lt;&gt;"",Fastest!T24,"")</f>
        <v>1.5682870370370416E-2</v>
      </c>
    </row>
    <row r="20" spans="1:5">
      <c r="A20" s="105">
        <v>16</v>
      </c>
      <c r="B20" s="105" t="str">
        <f>IF(Fastest!$T25&lt;&gt;"",Fastest!D25,"")</f>
        <v>Alan McCaffrey</v>
      </c>
      <c r="C20" s="105" t="str">
        <f>IF(Fastest!$T25&lt;&gt;"",Fastest!$S25,"")</f>
        <v>428942</v>
      </c>
      <c r="D20" s="105" t="str">
        <f>IF(Fastest!$T25&lt;&gt;"",Fastest!$K25,"")</f>
        <v>Moray Firth Cycling Club</v>
      </c>
      <c r="E20" s="113">
        <f>IF(Fastest!T25&lt;&gt;"",Fastest!T25,"")</f>
        <v>1.5752314814814983E-2</v>
      </c>
    </row>
    <row r="21" spans="1:5">
      <c r="A21" s="105">
        <v>17</v>
      </c>
      <c r="B21" s="105" t="str">
        <f>IF(Fastest!$T26&lt;&gt;"",Fastest!D26,"")</f>
        <v>Robert Cowie</v>
      </c>
      <c r="C21" s="105" t="str">
        <f>IF(Fastest!$T26&lt;&gt;"",Fastest!$S26,"")</f>
        <v>436318</v>
      </c>
      <c r="D21" s="105" t="str">
        <f>IF(Fastest!$T26&lt;&gt;"",Fastest!$K26,"")</f>
        <v>Aberdeen Wheelers Cycling Club</v>
      </c>
      <c r="E21" s="113">
        <f>IF(Fastest!T26&lt;&gt;"",Fastest!T26,"")</f>
        <v>1.5798611111111194E-2</v>
      </c>
    </row>
    <row r="22" spans="1:5">
      <c r="A22" s="105">
        <v>18</v>
      </c>
      <c r="B22" s="105" t="str">
        <f>IF(Fastest!$T27&lt;&gt;"",Fastest!D27,"")</f>
        <v>Douglas Macdonald</v>
      </c>
      <c r="C22" s="105" t="str">
        <f>IF(Fastest!$T27&lt;&gt;"",Fastest!$S27,"")</f>
        <v>430399</v>
      </c>
      <c r="D22" s="105" t="str">
        <f>IF(Fastest!$T27&lt;&gt;"",Fastest!$K27,"")</f>
        <v>Fullarton Wheelers Cycling Club</v>
      </c>
      <c r="E22" s="113">
        <f>IF(Fastest!T27&lt;&gt;"",Fastest!T27,"")</f>
        <v>1.5972222222222332E-2</v>
      </c>
    </row>
    <row r="23" spans="1:5">
      <c r="A23" s="105">
        <v>19</v>
      </c>
      <c r="B23" s="105" t="str">
        <f>IF(Fastest!$T28&lt;&gt;"",Fastest!D28,"")</f>
        <v>Lorna Breetzke</v>
      </c>
      <c r="C23" s="105" t="str">
        <f>IF(Fastest!$T28&lt;&gt;"",Fastest!$S28,"")</f>
        <v>1494994</v>
      </c>
      <c r="D23" s="105" t="str">
        <f>IF(Fastest!$T28&lt;&gt;"",Fastest!$K28,"")</f>
        <v>Elgin CC</v>
      </c>
      <c r="E23" s="113">
        <f>IF(Fastest!T28&lt;&gt;"",Fastest!T28,"")</f>
        <v>1.6041666666666732E-2</v>
      </c>
    </row>
    <row r="24" spans="1:5">
      <c r="A24" s="105">
        <v>20</v>
      </c>
      <c r="B24" s="105" t="str">
        <f>IF(Fastest!$T29&lt;&gt;"",Fastest!D29,"")</f>
        <v>Daniel Sutherland</v>
      </c>
      <c r="C24" s="105" t="str">
        <f>IF(Fastest!$T29&lt;&gt;"",Fastest!$S29,"")</f>
        <v>1423884</v>
      </c>
      <c r="D24" s="105" t="str">
        <f>IF(Fastest!$T29&lt;&gt;"",Fastest!$K29,"")</f>
        <v>Moray Firth Cycling Club</v>
      </c>
      <c r="E24" s="113">
        <f>IF(Fastest!T29&lt;&gt;"",Fastest!T29,"")</f>
        <v>1.6099537037037037E-2</v>
      </c>
    </row>
    <row r="25" spans="1:5">
      <c r="A25" s="105">
        <v>21</v>
      </c>
      <c r="B25" s="105" t="str">
        <f>IF(Fastest!$T30&lt;&gt;"",Fastest!D30,"")</f>
        <v>Logan Anderson</v>
      </c>
      <c r="C25" s="105" t="str">
        <f>IF(Fastest!$T30&lt;&gt;"",Fastest!$S30,"")</f>
        <v>1713042</v>
      </c>
      <c r="D25" s="105" t="str">
        <f>IF(Fastest!$T30&lt;&gt;"",Fastest!$K30,"")</f>
        <v>Moray Firth Cycling Club</v>
      </c>
      <c r="E25" s="113">
        <f>IF(Fastest!T30&lt;&gt;"",Fastest!T30,"")</f>
        <v>1.614583333333347E-2</v>
      </c>
    </row>
    <row r="26" spans="1:5">
      <c r="A26" s="105">
        <v>22</v>
      </c>
      <c r="B26" s="105" t="str">
        <f>IF(Fastest!$T31&lt;&gt;"",Fastest!D31,"")</f>
        <v>James Shewan</v>
      </c>
      <c r="C26" s="105" t="str">
        <f>IF(Fastest!$T31&lt;&gt;"",Fastest!$S31,"")</f>
        <v>1253402</v>
      </c>
      <c r="D26" s="105" t="str">
        <f>IF(Fastest!$T31&lt;&gt;"",Fastest!$K31,"")</f>
        <v>Moray Firth Cycling Club</v>
      </c>
      <c r="E26" s="113">
        <f>IF(Fastest!T31&lt;&gt;"",Fastest!T31,"")</f>
        <v>1.6192129629629737E-2</v>
      </c>
    </row>
    <row r="27" spans="1:5">
      <c r="A27" s="105">
        <v>23</v>
      </c>
      <c r="B27" s="105" t="str">
        <f>IF(Fastest!$T32&lt;&gt;"",Fastest!D32,"")</f>
        <v>Millie Thomson</v>
      </c>
      <c r="C27" s="105" t="str">
        <f>IF(Fastest!$T32&lt;&gt;"",Fastest!$S32,"")</f>
        <v>1151288</v>
      </c>
      <c r="D27" s="105" t="str">
        <f>IF(Fastest!$T32&lt;&gt;"",Fastest!$K32,"")</f>
        <v>Solas Cycling</v>
      </c>
      <c r="E27" s="113">
        <f>IF(Fastest!T32&lt;&gt;"",Fastest!T32,"")</f>
        <v>1.6203703703703776E-2</v>
      </c>
    </row>
    <row r="28" spans="1:5">
      <c r="A28" s="105">
        <v>24</v>
      </c>
      <c r="B28" s="105" t="str">
        <f>IF(Fastest!$T33&lt;&gt;"",Fastest!D33,"")</f>
        <v>Alison Roger</v>
      </c>
      <c r="C28" s="105" t="str">
        <f>IF(Fastest!$T33&lt;&gt;"",Fastest!$S33,"")</f>
        <v>1690150</v>
      </c>
      <c r="D28" s="105" t="str">
        <f>IF(Fastest!$T33&lt;&gt;"",Fastest!$K33,"")</f>
        <v>North Argyll Cycle Club</v>
      </c>
      <c r="E28" s="113">
        <f>IF(Fastest!T33&lt;&gt;"",Fastest!T33,"")</f>
        <v>1.6319444444444553E-2</v>
      </c>
    </row>
    <row r="29" spans="1:5">
      <c r="A29" s="105">
        <v>25</v>
      </c>
      <c r="B29" s="105" t="str">
        <f>IF(Fastest!$T34&lt;&gt;"",Fastest!D34,"")</f>
        <v>Jonathan Forbes</v>
      </c>
      <c r="C29" s="105" t="str">
        <f>IF(Fastest!$T34&lt;&gt;"",Fastest!$S34,"")</f>
        <v>1359206</v>
      </c>
      <c r="D29" s="105" t="str">
        <f>IF(Fastest!$T34&lt;&gt;"",Fastest!$K34,"")</f>
        <v>Ross-Shire RCC</v>
      </c>
      <c r="E29" s="113">
        <f>IF(Fastest!T34&lt;&gt;"",Fastest!T34,"")</f>
        <v>1.6435185185185219E-2</v>
      </c>
    </row>
    <row r="30" spans="1:5">
      <c r="A30" s="105">
        <v>26</v>
      </c>
      <c r="B30" s="105" t="str">
        <f>IF(Fastest!$T35&lt;&gt;"",Fastest!D35,"")</f>
        <v>Jeremy Hubbard</v>
      </c>
      <c r="C30" s="105" t="str">
        <f>IF(Fastest!$T35&lt;&gt;"",Fastest!$S35,"")</f>
        <v>1267380</v>
      </c>
      <c r="D30" s="105" t="str">
        <f>IF(Fastest!$T35&lt;&gt;"",Fastest!$K35,"")</f>
        <v>Cairngorm CC</v>
      </c>
      <c r="E30" s="113">
        <f>IF(Fastest!T35&lt;&gt;"",Fastest!T35,"")</f>
        <v>1.6458333333333408E-2</v>
      </c>
    </row>
    <row r="31" spans="1:5">
      <c r="A31" s="105">
        <v>27</v>
      </c>
      <c r="B31" s="105" t="str">
        <f>IF(Fastest!$T36&lt;&gt;"",Fastest!D36,"")</f>
        <v>Michael Maciver</v>
      </c>
      <c r="C31" s="105" t="str">
        <f>IF(Fastest!$T36&lt;&gt;"",Fastest!$S36,"")</f>
        <v>1053476</v>
      </c>
      <c r="D31" s="105" t="str">
        <f>IF(Fastest!$T36&lt;&gt;"",Fastest!$K36,"")</f>
        <v>Ross-Shire RCC</v>
      </c>
      <c r="E31" s="113">
        <f>IF(Fastest!T36&lt;&gt;"",Fastest!T36,"")</f>
        <v>1.6458333333333464E-2</v>
      </c>
    </row>
    <row r="32" spans="1:5">
      <c r="A32" s="105">
        <v>28</v>
      </c>
      <c r="B32" s="105" t="str">
        <f>IF(Fastest!$T37&lt;&gt;"",Fastest!D37,"")</f>
        <v>William Sutherland</v>
      </c>
      <c r="C32" s="105" t="str">
        <f>IF(Fastest!$T37&lt;&gt;"",Fastest!$S37,"")</f>
        <v>1713297</v>
      </c>
      <c r="D32" s="105" t="str">
        <f>IF(Fastest!$T37&lt;&gt;"",Fastest!$K37,"")</f>
        <v>Ross-Shire RCC</v>
      </c>
      <c r="E32" s="113">
        <f>IF(Fastest!T37&lt;&gt;"",Fastest!T37,"")</f>
        <v>1.6527777777777919E-2</v>
      </c>
    </row>
    <row r="33" spans="1:5">
      <c r="A33" s="105">
        <v>29</v>
      </c>
      <c r="B33" s="105" t="str">
        <f>IF(Fastest!$T38&lt;&gt;"",Fastest!D38,"")</f>
        <v>Alan Horsburgh</v>
      </c>
      <c r="C33" s="105" t="str">
        <f>IF(Fastest!$T38&lt;&gt;"",Fastest!$S38,"")</f>
        <v>955248</v>
      </c>
      <c r="D33" s="105" t="str">
        <f>IF(Fastest!$T38&lt;&gt;"",Fastest!$K38,"")</f>
        <v>Inverness Cycle Club</v>
      </c>
      <c r="E33" s="113">
        <f>IF(Fastest!T38&lt;&gt;"",Fastest!T38,"")</f>
        <v>1.6597222222222208E-2</v>
      </c>
    </row>
    <row r="34" spans="1:5">
      <c r="A34" s="105">
        <v>30</v>
      </c>
      <c r="B34" s="105" t="str">
        <f>IF(Fastest!$T39&lt;&gt;"",Fastest!D39,"")</f>
        <v>Gillies Grant</v>
      </c>
      <c r="C34" s="105" t="str">
        <f>IF(Fastest!$T39&lt;&gt;"",Fastest!$S39,"")</f>
        <v>1711884</v>
      </c>
      <c r="D34" s="105" t="str">
        <f>IF(Fastest!$T39&lt;&gt;"",Fastest!$K39,"")</f>
        <v>Forres CC</v>
      </c>
      <c r="E34" s="113">
        <f>IF(Fastest!T39&lt;&gt;"",Fastest!T39,"")</f>
        <v>1.6666666666666718E-2</v>
      </c>
    </row>
    <row r="35" spans="1:5">
      <c r="A35" s="105">
        <v>31</v>
      </c>
      <c r="B35" s="105" t="str">
        <f>IF(Fastest!$T40&lt;&gt;"",Fastest!D40,"")</f>
        <v>Michael Mcinnes</v>
      </c>
      <c r="C35" s="105" t="str">
        <f>IF(Fastest!$T40&lt;&gt;"",Fastest!$S40,"")</f>
        <v>1807438</v>
      </c>
      <c r="D35" s="105" t="str">
        <f>IF(Fastest!$T40&lt;&gt;"",Fastest!$K40,"")</f>
        <v>Moray Firth Cycling Club</v>
      </c>
      <c r="E35" s="113">
        <f>IF(Fastest!T40&lt;&gt;"",Fastest!T40,"")</f>
        <v>1.6678240740740757E-2</v>
      </c>
    </row>
    <row r="36" spans="1:5">
      <c r="A36" s="105">
        <v>32</v>
      </c>
      <c r="B36" s="105" t="str">
        <f>IF(Fastest!$T41&lt;&gt;"",Fastest!D41,"")</f>
        <v>Kyle Cattanach</v>
      </c>
      <c r="C36" s="105" t="str">
        <f>IF(Fastest!$T41&lt;&gt;"",Fastest!$S41,"")</f>
        <v>1834071</v>
      </c>
      <c r="D36" s="105" t="str">
        <f>IF(Fastest!$T41&lt;&gt;"",Fastest!$K41,"")</f>
        <v>Moray Firth Cycling Club</v>
      </c>
      <c r="E36" s="113">
        <f>IF(Fastest!T41&lt;&gt;"",Fastest!T41,"")</f>
        <v>1.7013888888888995E-2</v>
      </c>
    </row>
    <row r="37" spans="1:5">
      <c r="A37" s="105">
        <v>33</v>
      </c>
      <c r="B37" s="105" t="str">
        <f>IF(Fastest!$T42&lt;&gt;"",Fastest!D42,"")</f>
        <v>Michael Morris</v>
      </c>
      <c r="C37" s="105" t="str">
        <f>IF(Fastest!$T42&lt;&gt;"",Fastest!$S42,"")</f>
        <v>1729605</v>
      </c>
      <c r="D37" s="105" t="str">
        <f>IF(Fastest!$T42&lt;&gt;"",Fastest!$K42,"")</f>
        <v>Cairngorm CC</v>
      </c>
      <c r="E37" s="113">
        <f>IF(Fastest!T42&lt;&gt;"",Fastest!T42,"")</f>
        <v>1.7048611111111112E-2</v>
      </c>
    </row>
    <row r="38" spans="1:5">
      <c r="A38" s="105">
        <v>34</v>
      </c>
      <c r="B38" s="105" t="str">
        <f>IF(Fastest!$T43&lt;&gt;"",Fastest!D43,"")</f>
        <v>Isla Easto</v>
      </c>
      <c r="C38" s="105" t="str">
        <f>IF(Fastest!$T43&lt;&gt;"",Fastest!$S43,"")</f>
        <v>1716241</v>
      </c>
      <c r="D38" s="105" t="str">
        <f>IF(Fastest!$T43&lt;&gt;"",Fastest!$K43,"")</f>
        <v>Solas Cycling</v>
      </c>
      <c r="E38" s="113">
        <f>IF(Fastest!T43&lt;&gt;"",Fastest!T43,"")</f>
        <v>1.7060185185185317E-2</v>
      </c>
    </row>
    <row r="39" spans="1:5">
      <c r="A39" s="105">
        <v>35</v>
      </c>
      <c r="B39" s="105" t="str">
        <f>IF(Fastest!$T44&lt;&gt;"",Fastest!D44,"")</f>
        <v>Callum Deboys</v>
      </c>
      <c r="C39" s="105" t="str">
        <f>IF(Fastest!$T44&lt;&gt;"",Fastest!$S44,"")</f>
        <v>1774761</v>
      </c>
      <c r="D39" s="105" t="str">
        <f>IF(Fastest!$T44&lt;&gt;"",Fastest!$K44,"")</f>
        <v>GTR - Return To Life</v>
      </c>
      <c r="E39" s="113">
        <f>IF(Fastest!T44&lt;&gt;"",Fastest!T44,"")</f>
        <v>1.7187500000000133E-2</v>
      </c>
    </row>
    <row r="40" spans="1:5">
      <c r="A40" s="105">
        <v>36</v>
      </c>
      <c r="B40" s="105" t="str">
        <f>IF(Fastest!$T45&lt;&gt;"",Fastest!D45,"")</f>
        <v>Andrew Paterson</v>
      </c>
      <c r="C40" s="105" t="str">
        <f>IF(Fastest!$T45&lt;&gt;"",Fastest!$S45,"")</f>
        <v>1820763</v>
      </c>
      <c r="D40" s="105" t="str">
        <f>IF(Fastest!$T45&lt;&gt;"",Fastest!$K45,"")</f>
        <v>Elgin CC</v>
      </c>
      <c r="E40" s="113">
        <f>IF(Fastest!T45&lt;&gt;"",Fastest!T45,"")</f>
        <v>1.72337962962964E-2</v>
      </c>
    </row>
    <row r="41" spans="1:5">
      <c r="A41" s="105">
        <v>37</v>
      </c>
      <c r="B41" s="105" t="str">
        <f>IF(Fastest!$T46&lt;&gt;"",Fastest!D46,"")</f>
        <v>Angus Brumhead</v>
      </c>
      <c r="C41" s="105" t="str">
        <f>IF(Fastest!$T46&lt;&gt;"",Fastest!$S46,"")</f>
        <v>1760731</v>
      </c>
      <c r="D41" s="105" t="str">
        <f>IF(Fastest!$T46&lt;&gt;"",Fastest!$K46,"")</f>
        <v>Inverness Cycle Club</v>
      </c>
      <c r="E41" s="113">
        <f>IF(Fastest!T46&lt;&gt;"",Fastest!T46,"")</f>
        <v>1.7372685185185255E-2</v>
      </c>
    </row>
    <row r="42" spans="1:5">
      <c r="A42" s="105">
        <v>38</v>
      </c>
      <c r="B42" s="105" t="str">
        <f>IF(Fastest!$T47&lt;&gt;"",Fastest!D47,"")</f>
        <v>Breagha Beaton</v>
      </c>
      <c r="C42" s="105" t="str">
        <f>IF(Fastest!$T47&lt;&gt;"",Fastest!$S47,"")</f>
        <v>1726711</v>
      </c>
      <c r="D42" s="105" t="str">
        <f>IF(Fastest!$T47&lt;&gt;"",Fastest!$K47,"")</f>
        <v>Moray Firth Cycling Club</v>
      </c>
      <c r="E42" s="113">
        <f>IF(Fastest!T47&lt;&gt;"",Fastest!T47,"")</f>
        <v>1.7442129629629655E-2</v>
      </c>
    </row>
    <row r="43" spans="1:5">
      <c r="A43" s="105">
        <v>39</v>
      </c>
      <c r="B43" s="105" t="str">
        <f>IF(Fastest!$T48&lt;&gt;"",Fastest!D48,"")</f>
        <v>Darren Wisniewski</v>
      </c>
      <c r="C43" s="105" t="str">
        <f>IF(Fastest!$T48&lt;&gt;"",Fastest!$S48,"")</f>
        <v>1863190</v>
      </c>
      <c r="D43" s="105" t="str">
        <f>IF(Fastest!$T48&lt;&gt;"",Fastest!$K48,"")</f>
        <v/>
      </c>
      <c r="E43" s="113">
        <f>IF(Fastest!T48&lt;&gt;"",Fastest!T48,"")</f>
        <v>1.7488425925926088E-2</v>
      </c>
    </row>
    <row r="44" spans="1:5">
      <c r="A44" s="105">
        <v>40</v>
      </c>
      <c r="B44" s="105" t="str">
        <f>IF(Fastest!$T49&lt;&gt;"",Fastest!D49,"")</f>
        <v>Paul Parrish</v>
      </c>
      <c r="C44" s="105" t="str">
        <f>IF(Fastest!$T49&lt;&gt;"",Fastest!$S49,"")</f>
        <v>966611</v>
      </c>
      <c r="D44" s="105" t="str">
        <f>IF(Fastest!$T49&lt;&gt;"",Fastest!$K49,"")</f>
        <v>Cairngorm CC</v>
      </c>
      <c r="E44" s="113">
        <f>IF(Fastest!T49&lt;&gt;"",Fastest!T49,"")</f>
        <v>1.7569444444444582E-2</v>
      </c>
    </row>
    <row r="45" spans="1:5">
      <c r="A45" s="105">
        <v>41</v>
      </c>
      <c r="B45" s="105" t="str">
        <f>IF(Fastest!$T50&lt;&gt;"",Fastest!D50,"")</f>
        <v>Ian Grant</v>
      </c>
      <c r="C45" s="105" t="str">
        <f>IF(Fastest!$T50&lt;&gt;"",Fastest!$S50,"")</f>
        <v>460001</v>
      </c>
      <c r="D45" s="105" t="str">
        <f>IF(Fastest!$T50&lt;&gt;"",Fastest!$K50,"")</f>
        <v>Deeside Thistle CC</v>
      </c>
      <c r="E45" s="113">
        <f>IF(Fastest!T50&lt;&gt;"",Fastest!T50,"")</f>
        <v>1.759259259259266E-2</v>
      </c>
    </row>
    <row r="46" spans="1:5">
      <c r="A46" s="105">
        <v>42</v>
      </c>
      <c r="B46" s="105" t="str">
        <f>IF(Fastest!$T51&lt;&gt;"",Fastest!D51,"")</f>
        <v>Ruth Jeays</v>
      </c>
      <c r="C46" s="105" t="str">
        <f>IF(Fastest!$T51&lt;&gt;"",Fastest!$S51,"")</f>
        <v>1009647</v>
      </c>
      <c r="D46" s="105" t="str">
        <f>IF(Fastest!$T51&lt;&gt;"",Fastest!$K51,"")</f>
        <v>Revolution CT</v>
      </c>
      <c r="E46" s="113">
        <f>IF(Fastest!T51&lt;&gt;"",Fastest!T51,"")</f>
        <v>1.7685185185185193E-2</v>
      </c>
    </row>
    <row r="47" spans="1:5">
      <c r="A47" s="105">
        <v>43</v>
      </c>
      <c r="B47" s="105" t="str">
        <f>IF(Fastest!$T52&lt;&gt;"",Fastest!D52,"")</f>
        <v>Martin Lugg</v>
      </c>
      <c r="C47" s="105" t="str">
        <f>IF(Fastest!$T52&lt;&gt;"",Fastest!$S52,"")</f>
        <v>442330</v>
      </c>
      <c r="D47" s="105" t="str">
        <f>IF(Fastest!$T52&lt;&gt;"",Fastest!$K52,"")</f>
        <v>Revolution CT</v>
      </c>
      <c r="E47" s="113">
        <f>IF(Fastest!T52&lt;&gt;"",Fastest!T52,"")</f>
        <v>1.7719907407407531E-2</v>
      </c>
    </row>
    <row r="48" spans="1:5">
      <c r="A48" s="105">
        <v>44</v>
      </c>
      <c r="B48" s="105" t="str">
        <f>IF(Fastest!$T53&lt;&gt;"",Fastest!D53,"")</f>
        <v>Amy Renwick</v>
      </c>
      <c r="C48" s="105" t="str">
        <f>IF(Fastest!$T53&lt;&gt;"",Fastest!$S53,"")</f>
        <v>1553215</v>
      </c>
      <c r="D48" s="105" t="str">
        <f>IF(Fastest!$T53&lt;&gt;"",Fastest!$K53,"")</f>
        <v>Moray Firth Cycling Club</v>
      </c>
      <c r="E48" s="113">
        <f>IF(Fastest!T53&lt;&gt;"",Fastest!T53,"")</f>
        <v>1.7847222222222292E-2</v>
      </c>
    </row>
    <row r="49" spans="1:5">
      <c r="A49" s="105">
        <v>45</v>
      </c>
      <c r="B49" s="105" t="str">
        <f>IF(Fastest!$T54&lt;&gt;"",Fastest!D54,"")</f>
        <v>Phil Cameron</v>
      </c>
      <c r="C49" s="105" t="str">
        <f>IF(Fastest!$T54&lt;&gt;"",Fastest!$S54,"")</f>
        <v>1736632</v>
      </c>
      <c r="D49" s="105" t="str">
        <f>IF(Fastest!$T54&lt;&gt;"",Fastest!$K54,"")</f>
        <v>Elgin CC</v>
      </c>
      <c r="E49" s="113">
        <f>IF(Fastest!T54&lt;&gt;"",Fastest!T54,"")</f>
        <v>1.7939814814809999E-2</v>
      </c>
    </row>
    <row r="50" spans="1:5">
      <c r="A50" s="105">
        <v>46</v>
      </c>
      <c r="B50" s="105" t="str">
        <f>IF(Fastest!$T55&lt;&gt;"",Fastest!D55,"")</f>
        <v>Malcolm Cleghorn</v>
      </c>
      <c r="C50" s="105" t="str">
        <f>IF(Fastest!$T55&lt;&gt;"",Fastest!$S55,"")</f>
        <v>1090352</v>
      </c>
      <c r="D50" s="105" t="str">
        <f>IF(Fastest!$T55&lt;&gt;"",Fastest!$K55,"")</f>
        <v>Ross-Shire RCC</v>
      </c>
      <c r="E50" s="113">
        <f>IF(Fastest!T55&lt;&gt;"",Fastest!T55,"")</f>
        <v>1.8182870370370474E-2</v>
      </c>
    </row>
    <row r="51" spans="1:5">
      <c r="A51" s="105">
        <v>47</v>
      </c>
      <c r="B51" s="105" t="str">
        <f>IF(Fastest!$T56&lt;&gt;"",Fastest!D56,"")</f>
        <v>Stan MacKenzie</v>
      </c>
      <c r="C51" s="105" t="str">
        <f>IF(Fastest!$T56&lt;&gt;"",Fastest!$S56,"")</f>
        <v>1062018</v>
      </c>
      <c r="D51" s="105" t="str">
        <f>IF(Fastest!$T56&lt;&gt;"",Fastest!$K56,"")</f>
        <v>Ross-Shire RCC</v>
      </c>
      <c r="E51" s="113">
        <f>IF(Fastest!T56&lt;&gt;"",Fastest!T56,"")</f>
        <v>1.8402777777777768E-2</v>
      </c>
    </row>
    <row r="52" spans="1:5">
      <c r="A52" s="105">
        <v>48</v>
      </c>
      <c r="B52" s="105" t="str">
        <f>IF(Fastest!$T57&lt;&gt;"",Fastest!D57,"")</f>
        <v>Innis Mitchell</v>
      </c>
      <c r="C52" s="105" t="str">
        <f>IF(Fastest!$T57&lt;&gt;"",Fastest!$S57,"")</f>
        <v>838764</v>
      </c>
      <c r="D52" s="105" t="str">
        <f>IF(Fastest!$T57&lt;&gt;"",Fastest!$K57,"")</f>
        <v>Ross-Shire RCC</v>
      </c>
      <c r="E52" s="113">
        <f>IF(Fastest!T57&lt;&gt;"",Fastest!T57,"")</f>
        <v>1.8738425925926006E-2</v>
      </c>
    </row>
    <row r="53" spans="1:5">
      <c r="A53" s="105">
        <v>49</v>
      </c>
      <c r="B53" s="105" t="str">
        <f>IF(Fastest!$T58&lt;&gt;"",Fastest!D58,"")</f>
        <v>Zoe Newsam</v>
      </c>
      <c r="C53" s="105" t="str">
        <f>IF(Fastest!$T58&lt;&gt;"",Fastest!$S58,"")</f>
        <v>920951</v>
      </c>
      <c r="D53" s="105" t="str">
        <f>IF(Fastest!$T58&lt;&gt;"",Fastest!$K58,"")</f>
        <v>Scottish Veterans T.T.A.</v>
      </c>
      <c r="E53" s="113">
        <f>IF(Fastest!T58&lt;&gt;"",Fastest!T58,"")</f>
        <v>1.9490740740740808E-2</v>
      </c>
    </row>
    <row r="54" spans="1:5">
      <c r="A54" s="105">
        <v>50</v>
      </c>
      <c r="B54" s="105" t="str">
        <f>IF(Fastest!$T59&lt;&gt;"",Fastest!D59,"")</f>
        <v>Alasdair Washington</v>
      </c>
      <c r="C54" s="105" t="str">
        <f>IF(Fastest!$T59&lt;&gt;"",Fastest!$S59,"")</f>
        <v>202161</v>
      </c>
      <c r="D54" s="105" t="str">
        <f>IF(Fastest!$T59&lt;&gt;"",Fastest!$K59,"")</f>
        <v>Caithness CC</v>
      </c>
      <c r="E54" s="113">
        <f>IF(Fastest!T59&lt;&gt;"",Fastest!T59,"")</f>
        <v>1.9872685185185313E-2</v>
      </c>
    </row>
    <row r="55" spans="1:5">
      <c r="A55" s="105">
        <v>51</v>
      </c>
      <c r="B55" s="105" t="str">
        <f>IF(Fastest!$T60&lt;&gt;"",Fastest!D60,"")</f>
        <v>julie cleghorn</v>
      </c>
      <c r="C55" s="105" t="str">
        <f>IF(Fastest!$T60&lt;&gt;"",Fastest!$S60,"")</f>
        <v/>
      </c>
      <c r="D55" s="105" t="str">
        <f>IF(Fastest!$T60&lt;&gt;"",Fastest!$K60,"")</f>
        <v>Ross-Shire RCC</v>
      </c>
      <c r="E55" s="113">
        <f>IF(Fastest!T60&lt;&gt;"",Fastest!T60,"")</f>
        <v>2.0046296296296284E-2</v>
      </c>
    </row>
    <row r="56" spans="1:5">
      <c r="A56" s="105">
        <v>52</v>
      </c>
      <c r="B56" s="105" t="str">
        <f>IF(Fastest!$T61&lt;&gt;"",Fastest!D61,"")</f>
        <v>Hector Nicolson</v>
      </c>
      <c r="C56" s="105" t="str">
        <f>IF(Fastest!$T61&lt;&gt;"",Fastest!$S61,"")</f>
        <v>703907</v>
      </c>
      <c r="D56" s="105" t="str">
        <f>IF(Fastest!$T61&lt;&gt;"",Fastest!$K61,"")</f>
        <v>Moray Firth Cycling Club</v>
      </c>
      <c r="E56" s="113">
        <f>IF(Fastest!T61&lt;&gt;"",Fastest!T61,"")</f>
        <v>2.0289351851851989E-2</v>
      </c>
    </row>
    <row r="57" spans="1:5">
      <c r="A57" s="105">
        <v>53</v>
      </c>
      <c r="B57" s="105" t="str">
        <f>IF(Fastest!$T62&lt;&gt;"",Fastest!D62,"")</f>
        <v>Paul Mason</v>
      </c>
      <c r="C57" s="105" t="str">
        <f>IF(Fastest!$T62&lt;&gt;"",Fastest!$S62,"")</f>
        <v>1821975</v>
      </c>
      <c r="D57" s="105" t="str">
        <f>IF(Fastest!$T62&lt;&gt;"",Fastest!$K62,"")</f>
        <v>Royal Navy Cycling</v>
      </c>
      <c r="E57" s="113">
        <f>IF(Fastest!T62&lt;&gt;"",Fastest!T62,"")</f>
        <v>2.0520833333333433E-2</v>
      </c>
    </row>
    <row r="58" spans="1:5">
      <c r="A58" s="105">
        <v>54</v>
      </c>
      <c r="B58" s="105" t="str">
        <f>IF(Fastest!$T63&lt;&gt;"",Fastest!D63,"")</f>
        <v>Christine Brumhead</v>
      </c>
      <c r="C58" s="105" t="str">
        <f>IF(Fastest!$T63&lt;&gt;"",Fastest!$S63,"")</f>
        <v>1760730</v>
      </c>
      <c r="D58" s="105" t="str">
        <f>IF(Fastest!$T63&lt;&gt;"",Fastest!$K63,"")</f>
        <v>Inverness Cycle Club</v>
      </c>
      <c r="E58" s="113">
        <f>IF(Fastest!T63&lt;&gt;"",Fastest!T63,"")</f>
        <v>2.1377314814809999E-2</v>
      </c>
    </row>
    <row r="59" spans="1:5">
      <c r="A59" s="105">
        <v>55</v>
      </c>
      <c r="B59" s="105" t="str">
        <f>IF(Fastest!$T64&lt;&gt;"",Fastest!D64,"")</f>
        <v>George Grant</v>
      </c>
      <c r="C59" s="105" t="str">
        <f>IF(Fastest!$T64&lt;&gt;"",Fastest!$S64,"")</f>
        <v>201987</v>
      </c>
      <c r="D59" s="105" t="str">
        <f>IF(Fastest!$T64&lt;&gt;"",Fastest!$K64,"")</f>
        <v>Forres CC</v>
      </c>
      <c r="E59" s="113">
        <f>IF(Fastest!T64&lt;&gt;"",Fastest!T64,"")</f>
        <v>2.1863425925925994E-2</v>
      </c>
    </row>
    <row r="60" spans="1:5">
      <c r="A60" s="105">
        <v>56</v>
      </c>
      <c r="B60" s="105" t="str">
        <f>IF(Fastest!$T65&lt;&gt;"",Fastest!D65,"")</f>
        <v>Fiona Barrett</v>
      </c>
      <c r="C60" s="105" t="str">
        <f>IF(Fastest!$T65&lt;&gt;"",Fastest!$S65,"")</f>
        <v>1121741</v>
      </c>
      <c r="D60" s="105" t="str">
        <f>IF(Fastest!$T65&lt;&gt;"",Fastest!$K65,"")</f>
        <v>Inverness Cycle Club</v>
      </c>
      <c r="E60" s="113">
        <f>IF(Fastest!T65&lt;&gt;"",Fastest!T65,"")</f>
        <v>2.2048611111111116E-2</v>
      </c>
    </row>
    <row r="61" spans="1:5">
      <c r="A61" s="105">
        <v>57</v>
      </c>
      <c r="B61" s="105" t="str">
        <f>IF(Fastest!$T66&lt;&gt;"",Fastest!D66,"")</f>
        <v/>
      </c>
      <c r="C61" s="105" t="str">
        <f>IF(Fastest!$T66&lt;&gt;"",Fastest!$S66,"")</f>
        <v/>
      </c>
      <c r="D61" s="105" t="str">
        <f>IF(Fastest!$T66&lt;&gt;"",Fastest!$K66,"")</f>
        <v/>
      </c>
      <c r="E61" s="113" t="str">
        <f>IF(Fastest!T66&lt;&gt;"",Fastest!T66,"")</f>
        <v/>
      </c>
    </row>
    <row r="62" spans="1:5">
      <c r="A62" s="105">
        <v>58</v>
      </c>
      <c r="B62" s="105" t="str">
        <f>IF(Fastest!$T67&lt;&gt;"",Fastest!D67,"")</f>
        <v/>
      </c>
      <c r="C62" s="105" t="str">
        <f>IF(Fastest!$T67&lt;&gt;"",Fastest!$S67,"")</f>
        <v/>
      </c>
      <c r="D62" s="105" t="str">
        <f>IF(Fastest!$T67&lt;&gt;"",Fastest!$K67,"")</f>
        <v/>
      </c>
      <c r="E62" s="113" t="str">
        <f>IF(Fastest!T67&lt;&gt;"",Fastest!T67,"")</f>
        <v/>
      </c>
    </row>
    <row r="63" spans="1:5">
      <c r="A63" s="105">
        <v>59</v>
      </c>
      <c r="B63" s="105" t="str">
        <f>IF(Fastest!$T68&lt;&gt;"",Fastest!D68,"")</f>
        <v/>
      </c>
      <c r="C63" s="105" t="str">
        <f>IF(Fastest!$T68&lt;&gt;"",Fastest!$S68,"")</f>
        <v/>
      </c>
      <c r="D63" s="105" t="str">
        <f>IF(Fastest!$T68&lt;&gt;"",Fastest!$K68,"")</f>
        <v/>
      </c>
      <c r="E63" s="113" t="str">
        <f>IF(Fastest!T68&lt;&gt;"",Fastest!T68,"")</f>
        <v/>
      </c>
    </row>
    <row r="64" spans="1:5">
      <c r="A64" s="105">
        <v>60</v>
      </c>
      <c r="B64" s="105" t="str">
        <f>IF(Fastest!$T69&lt;&gt;"",Fastest!D69,"")</f>
        <v/>
      </c>
      <c r="C64" s="105" t="str">
        <f>IF(Fastest!$T69&lt;&gt;"",Fastest!$S69,"")</f>
        <v/>
      </c>
      <c r="D64" s="105" t="str">
        <f>IF(Fastest!$T69&lt;&gt;"",Fastest!$K69,"")</f>
        <v/>
      </c>
      <c r="E64" s="113" t="str">
        <f>IF(Fastest!T69&lt;&gt;"",Fastest!T69,"")</f>
        <v/>
      </c>
    </row>
    <row r="65" spans="1:5">
      <c r="A65" s="105">
        <v>61</v>
      </c>
      <c r="B65" s="105" t="str">
        <f>IF(Fastest!$T70&lt;&gt;"",Fastest!D70,"")</f>
        <v/>
      </c>
      <c r="C65" s="105" t="str">
        <f>IF(Fastest!$T70&lt;&gt;"",Fastest!$S70,"")</f>
        <v/>
      </c>
      <c r="D65" s="105" t="str">
        <f>IF(Fastest!$T70&lt;&gt;"",Fastest!$K70,"")</f>
        <v/>
      </c>
      <c r="E65" s="113" t="str">
        <f>IF(Fastest!T70&lt;&gt;"",Fastest!T70,"")</f>
        <v/>
      </c>
    </row>
    <row r="66" spans="1:5">
      <c r="A66" s="105">
        <v>62</v>
      </c>
      <c r="B66" s="105" t="str">
        <f>IF(Fastest!$T71&lt;&gt;"",Fastest!D71,"")</f>
        <v/>
      </c>
      <c r="C66" s="105" t="str">
        <f>IF(Fastest!$T71&lt;&gt;"",Fastest!$S71,"")</f>
        <v/>
      </c>
      <c r="D66" s="105" t="str">
        <f>IF(Fastest!$T71&lt;&gt;"",Fastest!$K71,"")</f>
        <v/>
      </c>
      <c r="E66" s="113" t="str">
        <f>IF(Fastest!T71&lt;&gt;"",Fastest!T71,"")</f>
        <v/>
      </c>
    </row>
    <row r="67" spans="1:5">
      <c r="A67" s="105">
        <v>63</v>
      </c>
      <c r="B67" s="105" t="str">
        <f>IF(Fastest!$T72&lt;&gt;"",Fastest!D72,"")</f>
        <v/>
      </c>
      <c r="C67" s="105" t="str">
        <f>IF(Fastest!$T72&lt;&gt;"",Fastest!$S72,"")</f>
        <v/>
      </c>
      <c r="D67" s="105" t="str">
        <f>IF(Fastest!$T72&lt;&gt;"",Fastest!$K72,"")</f>
        <v/>
      </c>
      <c r="E67" s="113" t="str">
        <f>IF(Fastest!T72&lt;&gt;"",Fastest!T72,"")</f>
        <v/>
      </c>
    </row>
    <row r="68" spans="1:5">
      <c r="A68" s="105">
        <v>64</v>
      </c>
      <c r="B68" s="105" t="str">
        <f>IF(Fastest!$T73&lt;&gt;"",Fastest!D73,"")</f>
        <v/>
      </c>
      <c r="C68" s="105" t="str">
        <f>IF(Fastest!$T73&lt;&gt;"",Fastest!$S73,"")</f>
        <v/>
      </c>
      <c r="D68" s="105" t="str">
        <f>IF(Fastest!$T73&lt;&gt;"",Fastest!$K73,"")</f>
        <v/>
      </c>
      <c r="E68" s="113" t="str">
        <f>IF(Fastest!T73&lt;&gt;"",Fastest!T73,"")</f>
        <v/>
      </c>
    </row>
    <row r="69" spans="1:5">
      <c r="A69" s="105">
        <v>65</v>
      </c>
      <c r="B69" s="105" t="str">
        <f>IF(Fastest!$T74&lt;&gt;"",Fastest!D74,"")</f>
        <v/>
      </c>
      <c r="C69" s="105" t="str">
        <f>IF(Fastest!$T74&lt;&gt;"",Fastest!$S74,"")</f>
        <v/>
      </c>
      <c r="D69" s="105" t="str">
        <f>IF(Fastest!$T74&lt;&gt;"",Fastest!$K74,"")</f>
        <v/>
      </c>
      <c r="E69" s="113" t="str">
        <f>IF(Fastest!T74&lt;&gt;"",Fastest!T74,"")</f>
        <v/>
      </c>
    </row>
    <row r="70" spans="1:5">
      <c r="A70" s="105">
        <v>66</v>
      </c>
      <c r="B70" s="105" t="str">
        <f>IF(Fastest!$T75&lt;&gt;"",Fastest!D75,"")</f>
        <v/>
      </c>
      <c r="C70" s="105" t="str">
        <f>IF(Fastest!$T75&lt;&gt;"",Fastest!$S75,"")</f>
        <v/>
      </c>
      <c r="D70" s="105" t="str">
        <f>IF(Fastest!$T75&lt;&gt;"",Fastest!$K75,"")</f>
        <v/>
      </c>
      <c r="E70" s="113" t="str">
        <f>IF(Fastest!T75&lt;&gt;"",Fastest!T75,"")</f>
        <v/>
      </c>
    </row>
    <row r="71" spans="1:5">
      <c r="A71" s="105">
        <v>67</v>
      </c>
      <c r="B71" s="105" t="str">
        <f>IF(Fastest!$T76&lt;&gt;"",Fastest!D76,"")</f>
        <v/>
      </c>
      <c r="C71" s="105" t="str">
        <f>IF(Fastest!$T76&lt;&gt;"",Fastest!$S76,"")</f>
        <v/>
      </c>
      <c r="D71" s="105" t="str">
        <f>IF(Fastest!$T76&lt;&gt;"",Fastest!$K76,"")</f>
        <v/>
      </c>
      <c r="E71" s="113" t="str">
        <f>IF(Fastest!T76&lt;&gt;"",Fastest!T76,"")</f>
        <v/>
      </c>
    </row>
    <row r="72" spans="1:5">
      <c r="A72" s="105">
        <v>68</v>
      </c>
      <c r="B72" s="105" t="str">
        <f>IF(Fastest!$T77&lt;&gt;"",Fastest!D77,"")</f>
        <v/>
      </c>
      <c r="C72" s="105" t="str">
        <f>IF(Fastest!$T77&lt;&gt;"",Fastest!$S77,"")</f>
        <v/>
      </c>
      <c r="D72" s="105" t="str">
        <f>IF(Fastest!$T77&lt;&gt;"",Fastest!$K77,"")</f>
        <v/>
      </c>
      <c r="E72" s="113" t="str">
        <f>IF(Fastest!T77&lt;&gt;"",Fastest!T77,"")</f>
        <v/>
      </c>
    </row>
    <row r="73" spans="1:5">
      <c r="A73" s="105">
        <v>69</v>
      </c>
      <c r="B73" s="105" t="str">
        <f>IF(Fastest!$T78&lt;&gt;"",Fastest!D78,"")</f>
        <v/>
      </c>
      <c r="C73" s="105" t="str">
        <f>IF(Fastest!$T78&lt;&gt;"",Fastest!$S78,"")</f>
        <v/>
      </c>
      <c r="D73" s="105" t="str">
        <f>IF(Fastest!$T78&lt;&gt;"",Fastest!$K78,"")</f>
        <v/>
      </c>
      <c r="E73" s="113" t="str">
        <f>IF(Fastest!T78&lt;&gt;"",Fastest!T78,"")</f>
        <v/>
      </c>
    </row>
    <row r="74" spans="1:5">
      <c r="A74" s="105">
        <v>70</v>
      </c>
      <c r="B74" s="105" t="str">
        <f>IF(Fastest!$T79&lt;&gt;"",Fastest!D79,"")</f>
        <v/>
      </c>
      <c r="C74" s="105" t="str">
        <f>IF(Fastest!$T79&lt;&gt;"",Fastest!$S79,"")</f>
        <v/>
      </c>
      <c r="D74" s="105" t="str">
        <f>IF(Fastest!$T79&lt;&gt;"",Fastest!$K79,"")</f>
        <v/>
      </c>
      <c r="E74" s="113" t="str">
        <f>IF(Fastest!T79&lt;&gt;"",Fastest!T79,"")</f>
        <v/>
      </c>
    </row>
    <row r="75" spans="1:5">
      <c r="A75" s="105">
        <v>71</v>
      </c>
      <c r="B75" s="105" t="str">
        <f>IF(Fastest!$T80&lt;&gt;"",Fastest!D80,"")</f>
        <v/>
      </c>
      <c r="C75" s="105" t="str">
        <f>IF(Fastest!$T80&lt;&gt;"",Fastest!$S80,"")</f>
        <v/>
      </c>
      <c r="D75" s="105" t="str">
        <f>IF(Fastest!$T80&lt;&gt;"",Fastest!$K80,"")</f>
        <v/>
      </c>
      <c r="E75" s="113" t="str">
        <f>IF(Fastest!T80&lt;&gt;"",Fastest!T80,"")</f>
        <v/>
      </c>
    </row>
    <row r="76" spans="1:5">
      <c r="A76" s="105">
        <v>72</v>
      </c>
      <c r="B76" s="105" t="str">
        <f>IF(Fastest!$T81&lt;&gt;"",Fastest!D81,"")</f>
        <v/>
      </c>
      <c r="C76" s="105" t="str">
        <f>IF(Fastest!$T81&lt;&gt;"",Fastest!$S81,"")</f>
        <v/>
      </c>
      <c r="D76" s="105" t="str">
        <f>IF(Fastest!$T81&lt;&gt;"",Fastest!$K81,"")</f>
        <v/>
      </c>
      <c r="E76" s="113" t="str">
        <f>IF(Fastest!T81&lt;&gt;"",Fastest!T81,"")</f>
        <v/>
      </c>
    </row>
    <row r="77" spans="1:5">
      <c r="A77" s="105">
        <v>73</v>
      </c>
      <c r="B77" s="105" t="str">
        <f>IF(Fastest!$T82&lt;&gt;"",Fastest!D82,"")</f>
        <v/>
      </c>
      <c r="C77" s="105" t="str">
        <f>IF(Fastest!$T82&lt;&gt;"",Fastest!$S82,"")</f>
        <v/>
      </c>
      <c r="D77" s="105" t="str">
        <f>IF(Fastest!$T82&lt;&gt;"",Fastest!$K82,"")</f>
        <v/>
      </c>
      <c r="E77" s="113" t="str">
        <f>IF(Fastest!T82&lt;&gt;"",Fastest!T82,"")</f>
        <v/>
      </c>
    </row>
    <row r="78" spans="1:5">
      <c r="A78" s="105">
        <v>74</v>
      </c>
      <c r="B78" s="105" t="str">
        <f>IF(Fastest!$T83&lt;&gt;"",Fastest!D83,"")</f>
        <v/>
      </c>
      <c r="C78" s="105" t="str">
        <f>IF(Fastest!$T83&lt;&gt;"",Fastest!$S83,"")</f>
        <v/>
      </c>
      <c r="D78" s="105" t="str">
        <f>IF(Fastest!$T83&lt;&gt;"",Fastest!$K83,"")</f>
        <v/>
      </c>
      <c r="E78" s="113" t="str">
        <f>IF(Fastest!T83&lt;&gt;"",Fastest!T83,"")</f>
        <v/>
      </c>
    </row>
    <row r="79" spans="1:5">
      <c r="A79" s="105">
        <v>75</v>
      </c>
      <c r="B79" s="105" t="str">
        <f>IF(Fastest!$T84&lt;&gt;"",Fastest!D84,"")</f>
        <v/>
      </c>
      <c r="C79" s="105" t="str">
        <f>IF(Fastest!$T84&lt;&gt;"",Fastest!$S84,"")</f>
        <v/>
      </c>
      <c r="D79" s="105" t="str">
        <f>IF(Fastest!$T84&lt;&gt;"",Fastest!$K84,"")</f>
        <v/>
      </c>
      <c r="E79" s="113" t="str">
        <f>IF(Fastest!T84&lt;&gt;"",Fastest!T84,"")</f>
        <v/>
      </c>
    </row>
    <row r="80" spans="1:5">
      <c r="A80" s="105">
        <v>76</v>
      </c>
      <c r="B80" s="105" t="str">
        <f>IF(Fastest!$T85&lt;&gt;"",Fastest!D85,"")</f>
        <v/>
      </c>
      <c r="C80" s="105" t="str">
        <f>IF(Fastest!$T85&lt;&gt;"",Fastest!$S85,"")</f>
        <v/>
      </c>
      <c r="D80" s="105" t="str">
        <f>IF(Fastest!$T85&lt;&gt;"",Fastest!$K85,"")</f>
        <v/>
      </c>
      <c r="E80" s="113" t="str">
        <f>IF(Fastest!T85&lt;&gt;"",Fastest!T85,"")</f>
        <v/>
      </c>
    </row>
    <row r="81" spans="1:5">
      <c r="A81" s="105">
        <v>77</v>
      </c>
      <c r="B81" s="105" t="str">
        <f>IF(Fastest!$T86&lt;&gt;"",Fastest!D86,"")</f>
        <v/>
      </c>
      <c r="C81" s="105" t="str">
        <f>IF(Fastest!$T86&lt;&gt;"",Fastest!$S86,"")</f>
        <v/>
      </c>
      <c r="D81" s="105" t="str">
        <f>IF(Fastest!$T86&lt;&gt;"",Fastest!$K86,"")</f>
        <v/>
      </c>
      <c r="E81" s="113" t="str">
        <f>IF(Fastest!T86&lt;&gt;"",Fastest!T86,"")</f>
        <v/>
      </c>
    </row>
    <row r="82" spans="1:5">
      <c r="A82" s="105">
        <v>78</v>
      </c>
      <c r="B82" s="105" t="str">
        <f>IF(Fastest!$T87&lt;&gt;"",Fastest!D87,"")</f>
        <v/>
      </c>
      <c r="C82" s="105" t="str">
        <f>IF(Fastest!$T87&lt;&gt;"",Fastest!$S87,"")</f>
        <v/>
      </c>
      <c r="D82" s="105" t="str">
        <f>IF(Fastest!$T87&lt;&gt;"",Fastest!$K87,"")</f>
        <v/>
      </c>
      <c r="E82" s="113" t="str">
        <f>IF(Fastest!T87&lt;&gt;"",Fastest!T87,"")</f>
        <v/>
      </c>
    </row>
    <row r="83" spans="1:5">
      <c r="A83" s="105">
        <v>79</v>
      </c>
      <c r="B83" s="105" t="str">
        <f>IF(Fastest!$T88&lt;&gt;"",Fastest!D88,"")</f>
        <v/>
      </c>
      <c r="C83" s="105" t="str">
        <f>IF(Fastest!$T88&lt;&gt;"",Fastest!$S88,"")</f>
        <v/>
      </c>
      <c r="D83" s="105" t="str">
        <f>IF(Fastest!$T88&lt;&gt;"",Fastest!$K88,"")</f>
        <v/>
      </c>
      <c r="E83" s="113" t="str">
        <f>IF(Fastest!T88&lt;&gt;"",Fastest!T88,"")</f>
        <v/>
      </c>
    </row>
    <row r="84" spans="1:5">
      <c r="A84" s="105">
        <v>80</v>
      </c>
      <c r="B84" s="105" t="str">
        <f>IF(Fastest!$T89&lt;&gt;"",Fastest!D89,"")</f>
        <v/>
      </c>
      <c r="C84" s="105" t="str">
        <f>IF(Fastest!$T89&lt;&gt;"",Fastest!$S89,"")</f>
        <v/>
      </c>
      <c r="D84" s="105" t="str">
        <f>IF(Fastest!$T89&lt;&gt;"",Fastest!$K89,"")</f>
        <v/>
      </c>
      <c r="E84" s="113" t="str">
        <f>IF(Fastest!T89&lt;&gt;"",Fastest!T89,"")</f>
        <v/>
      </c>
    </row>
    <row r="85" spans="1:5">
      <c r="A85" s="105">
        <v>81</v>
      </c>
      <c r="B85" s="105" t="str">
        <f>IF(Fastest!$T90&lt;&gt;"",Fastest!D90,"")</f>
        <v/>
      </c>
      <c r="C85" s="105" t="str">
        <f>IF(Fastest!$T90&lt;&gt;"",Fastest!$S90,"")</f>
        <v/>
      </c>
      <c r="D85" s="105" t="str">
        <f>IF(Fastest!$T90&lt;&gt;"",Fastest!$K90,"")</f>
        <v/>
      </c>
      <c r="E85" s="113" t="str">
        <f>IF(Fastest!T90&lt;&gt;"",Fastest!T90,"")</f>
        <v/>
      </c>
    </row>
    <row r="86" spans="1:5">
      <c r="A86" s="105">
        <v>82</v>
      </c>
      <c r="B86" s="105" t="str">
        <f>IF(Fastest!$T91&lt;&gt;"",Fastest!D91,"")</f>
        <v/>
      </c>
      <c r="C86" s="105" t="str">
        <f>IF(Fastest!$T91&lt;&gt;"",Fastest!$S91,"")</f>
        <v/>
      </c>
      <c r="D86" s="105" t="str">
        <f>IF(Fastest!$T91&lt;&gt;"",Fastest!$K91,"")</f>
        <v/>
      </c>
      <c r="E86" s="113" t="str">
        <f>IF(Fastest!T91&lt;&gt;"",Fastest!T91,"")</f>
        <v/>
      </c>
    </row>
    <row r="87" spans="1:5">
      <c r="A87" s="105">
        <v>83</v>
      </c>
      <c r="B87" s="105" t="str">
        <f>IF(Fastest!$T92&lt;&gt;"",Fastest!D92,"")</f>
        <v/>
      </c>
      <c r="C87" s="105" t="str">
        <f>IF(Fastest!$T92&lt;&gt;"",Fastest!$S92,"")</f>
        <v/>
      </c>
      <c r="D87" s="105" t="str">
        <f>IF(Fastest!$T92&lt;&gt;"",Fastest!$K92,"")</f>
        <v/>
      </c>
      <c r="E87" s="113" t="str">
        <f>IF(Fastest!T92&lt;&gt;"",Fastest!T92,"")</f>
        <v/>
      </c>
    </row>
    <row r="88" spans="1:5">
      <c r="A88" s="105">
        <v>84</v>
      </c>
      <c r="B88" s="105" t="str">
        <f>IF(Fastest!$T93&lt;&gt;"",Fastest!D93,"")</f>
        <v/>
      </c>
      <c r="C88" s="105" t="str">
        <f>IF(Fastest!$T93&lt;&gt;"",Fastest!$S93,"")</f>
        <v/>
      </c>
      <c r="D88" s="105" t="str">
        <f>IF(Fastest!$T93&lt;&gt;"",Fastest!$K93,"")</f>
        <v/>
      </c>
      <c r="E88" s="113" t="str">
        <f>IF(Fastest!T93&lt;&gt;"",Fastest!T93,"")</f>
        <v/>
      </c>
    </row>
    <row r="89" spans="1:5">
      <c r="A89" s="105">
        <v>85</v>
      </c>
      <c r="B89" s="105" t="str">
        <f>IF(Fastest!$T94&lt;&gt;"",Fastest!D94,"")</f>
        <v/>
      </c>
      <c r="C89" s="105" t="str">
        <f>IF(Fastest!$T94&lt;&gt;"",Fastest!$S94,"")</f>
        <v/>
      </c>
      <c r="D89" s="105" t="str">
        <f>IF(Fastest!$T94&lt;&gt;"",Fastest!$K94,"")</f>
        <v/>
      </c>
      <c r="E89" s="113" t="str">
        <f>IF(Fastest!T94&lt;&gt;"",Fastest!T94,"")</f>
        <v/>
      </c>
    </row>
    <row r="90" spans="1:5">
      <c r="A90" s="105">
        <v>86</v>
      </c>
      <c r="B90" s="105" t="str">
        <f>IF(Fastest!$T95&lt;&gt;"",Fastest!D95,"")</f>
        <v/>
      </c>
      <c r="C90" s="105" t="str">
        <f>IF(Fastest!$T95&lt;&gt;"",Fastest!$S95,"")</f>
        <v/>
      </c>
      <c r="D90" s="105" t="str">
        <f>IF(Fastest!$T95&lt;&gt;"",Fastest!$K95,"")</f>
        <v/>
      </c>
      <c r="E90" s="113" t="str">
        <f>IF(Fastest!T95&lt;&gt;"",Fastest!T95,"")</f>
        <v/>
      </c>
    </row>
    <row r="91" spans="1:5">
      <c r="A91" s="105">
        <v>87</v>
      </c>
      <c r="B91" s="105" t="str">
        <f>IF(Fastest!$T96&lt;&gt;"",Fastest!D96,"")</f>
        <v/>
      </c>
      <c r="C91" s="105" t="str">
        <f>IF(Fastest!$T96&lt;&gt;"",Fastest!$S96,"")</f>
        <v/>
      </c>
      <c r="D91" s="105" t="str">
        <f>IF(Fastest!$T96&lt;&gt;"",Fastest!$K96,"")</f>
        <v/>
      </c>
      <c r="E91" s="113" t="str">
        <f>IF(Fastest!T96&lt;&gt;"",Fastest!T96,"")</f>
        <v/>
      </c>
    </row>
    <row r="92" spans="1:5">
      <c r="A92" s="105">
        <v>88</v>
      </c>
      <c r="B92" s="105" t="str">
        <f>IF(Fastest!$T97&lt;&gt;"",Fastest!D97,"")</f>
        <v/>
      </c>
      <c r="C92" s="105" t="str">
        <f>IF(Fastest!$T97&lt;&gt;"",Fastest!$S97,"")</f>
        <v/>
      </c>
      <c r="D92" s="105" t="str">
        <f>IF(Fastest!$T97&lt;&gt;"",Fastest!$K97,"")</f>
        <v/>
      </c>
      <c r="E92" s="113" t="str">
        <f>IF(Fastest!T97&lt;&gt;"",Fastest!T97,"")</f>
        <v/>
      </c>
    </row>
    <row r="93" spans="1:5">
      <c r="A93" s="105">
        <v>89</v>
      </c>
      <c r="B93" s="105" t="str">
        <f>IF(Fastest!$T98&lt;&gt;"",Fastest!D98,"")</f>
        <v/>
      </c>
      <c r="C93" s="105" t="str">
        <f>IF(Fastest!$T98&lt;&gt;"",Fastest!$S98,"")</f>
        <v/>
      </c>
      <c r="D93" s="105" t="str">
        <f>IF(Fastest!$T98&lt;&gt;"",Fastest!$K98,"")</f>
        <v/>
      </c>
      <c r="E93" s="113" t="str">
        <f>IF(Fastest!T98&lt;&gt;"",Fastest!T98,"")</f>
        <v/>
      </c>
    </row>
    <row r="94" spans="1:5">
      <c r="A94" s="105">
        <v>90</v>
      </c>
      <c r="B94" s="105" t="str">
        <f>IF(Fastest!$T99&lt;&gt;"",Fastest!D99,"")</f>
        <v/>
      </c>
      <c r="C94" s="105" t="str">
        <f>IF(Fastest!$T99&lt;&gt;"",Fastest!$S99,"")</f>
        <v/>
      </c>
      <c r="D94" s="105" t="str">
        <f>IF(Fastest!$T99&lt;&gt;"",Fastest!$K99,"")</f>
        <v/>
      </c>
      <c r="E94" s="113" t="str">
        <f>IF(Fastest!T99&lt;&gt;"",Fastest!T99,"")</f>
        <v/>
      </c>
    </row>
    <row r="95" spans="1:5">
      <c r="A95" s="105">
        <v>91</v>
      </c>
      <c r="B95" s="105" t="str">
        <f>IF(Fastest!$T100&lt;&gt;"",Fastest!D100,"")</f>
        <v/>
      </c>
      <c r="C95" s="105" t="str">
        <f>IF(Fastest!$T100&lt;&gt;"",Fastest!$S100,"")</f>
        <v/>
      </c>
      <c r="D95" s="105" t="str">
        <f>IF(Fastest!$T100&lt;&gt;"",Fastest!$K100,"")</f>
        <v/>
      </c>
      <c r="E95" s="113" t="str">
        <f>IF(Fastest!T100&lt;&gt;"",Fastest!T100,"")</f>
        <v/>
      </c>
    </row>
    <row r="96" spans="1:5">
      <c r="A96" s="105">
        <v>92</v>
      </c>
      <c r="B96" s="105" t="str">
        <f>IF(Fastest!$T101&lt;&gt;"",Fastest!D101,"")</f>
        <v/>
      </c>
      <c r="C96" s="105" t="str">
        <f>IF(Fastest!$T101&lt;&gt;"",Fastest!$S101,"")</f>
        <v/>
      </c>
      <c r="D96" s="105" t="str">
        <f>IF(Fastest!$T101&lt;&gt;"",Fastest!$K101,"")</f>
        <v/>
      </c>
      <c r="E96" s="113" t="str">
        <f>IF(Fastest!T101&lt;&gt;"",Fastest!T101,"")</f>
        <v/>
      </c>
    </row>
    <row r="97" spans="1:5">
      <c r="A97" s="105">
        <v>93</v>
      </c>
      <c r="B97" s="105" t="str">
        <f>IF(Fastest!$T102&lt;&gt;"",Fastest!D102,"")</f>
        <v/>
      </c>
      <c r="C97" s="105" t="str">
        <f>IF(Fastest!$T102&lt;&gt;"",Fastest!$S102,"")</f>
        <v/>
      </c>
      <c r="D97" s="105" t="str">
        <f>IF(Fastest!$T102&lt;&gt;"",Fastest!$K102,"")</f>
        <v/>
      </c>
      <c r="E97" s="113" t="str">
        <f>IF(Fastest!T102&lt;&gt;"",Fastest!T102,"")</f>
        <v/>
      </c>
    </row>
    <row r="98" spans="1:5">
      <c r="A98" s="105">
        <v>94</v>
      </c>
      <c r="B98" s="105" t="str">
        <f>IF(Fastest!$T103&lt;&gt;"",Fastest!D103,"")</f>
        <v/>
      </c>
      <c r="C98" s="105" t="str">
        <f>IF(Fastest!$T103&lt;&gt;"",Fastest!$S103,"")</f>
        <v/>
      </c>
      <c r="D98" s="105" t="str">
        <f>IF(Fastest!$T103&lt;&gt;"",Fastest!$K103,"")</f>
        <v/>
      </c>
      <c r="E98" s="113" t="str">
        <f>IF(Fastest!T103&lt;&gt;"",Fastest!T103,"")</f>
        <v/>
      </c>
    </row>
    <row r="99" spans="1:5">
      <c r="A99" s="105">
        <v>95</v>
      </c>
      <c r="B99" s="105" t="str">
        <f>IF(Fastest!$T104&lt;&gt;"",Fastest!D104,"")</f>
        <v/>
      </c>
      <c r="C99" s="105" t="str">
        <f>IF(Fastest!$T104&lt;&gt;"",Fastest!$S104,"")</f>
        <v/>
      </c>
      <c r="D99" s="105" t="str">
        <f>IF(Fastest!$T104&lt;&gt;"",Fastest!$K104,"")</f>
        <v/>
      </c>
      <c r="E99" s="113" t="str">
        <f>IF(Fastest!T104&lt;&gt;"",Fastest!T104,"")</f>
        <v/>
      </c>
    </row>
    <row r="100" spans="1:5">
      <c r="A100" s="105">
        <v>96</v>
      </c>
      <c r="B100" s="105" t="str">
        <f>IF(Fastest!$T105&lt;&gt;"",Fastest!D105,"")</f>
        <v/>
      </c>
      <c r="C100" s="105" t="str">
        <f>IF(Fastest!$T105&lt;&gt;"",Fastest!$S105,"")</f>
        <v/>
      </c>
      <c r="D100" s="105" t="str">
        <f>IF(Fastest!$T105&lt;&gt;"",Fastest!$K105,"")</f>
        <v/>
      </c>
      <c r="E100" s="113" t="str">
        <f>IF(Fastest!T105&lt;&gt;"",Fastest!T105,"")</f>
        <v/>
      </c>
    </row>
    <row r="101" spans="1:5">
      <c r="A101" s="105">
        <v>97</v>
      </c>
      <c r="B101" s="105" t="str">
        <f>IF(Fastest!$T106&lt;&gt;"",Fastest!D106,"")</f>
        <v/>
      </c>
      <c r="C101" s="105" t="str">
        <f>IF(Fastest!$T106&lt;&gt;"",Fastest!$S106,"")</f>
        <v/>
      </c>
      <c r="D101" s="105" t="str">
        <f>IF(Fastest!$T106&lt;&gt;"",Fastest!$K106,"")</f>
        <v/>
      </c>
      <c r="E101" s="113" t="str">
        <f>IF(Fastest!T106&lt;&gt;"",Fastest!T106,"")</f>
        <v/>
      </c>
    </row>
    <row r="102" spans="1:5">
      <c r="A102" s="105">
        <v>98</v>
      </c>
      <c r="B102" s="105" t="str">
        <f>IF(Fastest!$T107&lt;&gt;"",Fastest!D107,"")</f>
        <v/>
      </c>
      <c r="C102" s="105" t="str">
        <f>IF(Fastest!$T107&lt;&gt;"",Fastest!$S107,"")</f>
        <v/>
      </c>
      <c r="D102" s="105" t="str">
        <f>IF(Fastest!$T107&lt;&gt;"",Fastest!$K107,"")</f>
        <v/>
      </c>
      <c r="E102" s="113" t="str">
        <f>IF(Fastest!T107&lt;&gt;"",Fastest!T107,"")</f>
        <v/>
      </c>
    </row>
    <row r="103" spans="1:5">
      <c r="A103" s="105">
        <v>99</v>
      </c>
      <c r="B103" s="105" t="str">
        <f>IF(Fastest!$T108&lt;&gt;"",Fastest!D108,"")</f>
        <v/>
      </c>
      <c r="C103" s="105" t="str">
        <f>IF(Fastest!$T108&lt;&gt;"",Fastest!$S108,"")</f>
        <v/>
      </c>
      <c r="D103" s="105" t="str">
        <f>IF(Fastest!$T108&lt;&gt;"",Fastest!$K108,"")</f>
        <v/>
      </c>
      <c r="E103" s="113" t="str">
        <f>IF(Fastest!T108&lt;&gt;"",Fastest!T108,"")</f>
        <v/>
      </c>
    </row>
    <row r="104" spans="1:5">
      <c r="A104" s="105">
        <v>100</v>
      </c>
      <c r="B104" s="105" t="str">
        <f>IF(Fastest!$T109&lt;&gt;"",Fastest!D109,"")</f>
        <v/>
      </c>
      <c r="C104" s="105" t="str">
        <f>IF(Fastest!$T109&lt;&gt;"",Fastest!$S109,"")</f>
        <v/>
      </c>
      <c r="D104" s="105" t="str">
        <f>IF(Fastest!$T109&lt;&gt;"",Fastest!$K109,"")</f>
        <v/>
      </c>
      <c r="E104" s="113" t="str">
        <f>IF(Fastest!T109&lt;&gt;"",Fastest!T109,"")</f>
        <v/>
      </c>
    </row>
    <row r="105" spans="1:5">
      <c r="A105" s="105">
        <v>101</v>
      </c>
      <c r="B105" s="105" t="str">
        <f>IF(Fastest!$T110&lt;&gt;"",Fastest!D110,"")</f>
        <v/>
      </c>
      <c r="C105" s="105" t="str">
        <f>IF(Fastest!$T110&lt;&gt;"",Fastest!$S110,"")</f>
        <v/>
      </c>
      <c r="D105" s="105" t="str">
        <f>IF(Fastest!$T110&lt;&gt;"",Fastest!$K110,"")</f>
        <v/>
      </c>
      <c r="E105" s="113" t="str">
        <f>IF(Fastest!T110&lt;&gt;"",Fastest!T110,"")</f>
        <v/>
      </c>
    </row>
    <row r="106" spans="1:5">
      <c r="A106" s="105">
        <v>102</v>
      </c>
      <c r="B106" s="105" t="str">
        <f>IF(Fastest!$T111&lt;&gt;"",Fastest!D111,"")</f>
        <v/>
      </c>
      <c r="C106" s="105" t="str">
        <f>IF(Fastest!$T111&lt;&gt;"",Fastest!$S111,"")</f>
        <v/>
      </c>
      <c r="D106" s="105" t="str">
        <f>IF(Fastest!$T111&lt;&gt;"",Fastest!$K111,"")</f>
        <v/>
      </c>
      <c r="E106" s="113" t="str">
        <f>IF(Fastest!T111&lt;&gt;"",Fastest!T111,"")</f>
        <v/>
      </c>
    </row>
    <row r="107" spans="1:5">
      <c r="A107" s="105">
        <v>103</v>
      </c>
      <c r="B107" s="105" t="str">
        <f>IF(Fastest!$T112&lt;&gt;"",Fastest!D112,"")</f>
        <v/>
      </c>
      <c r="C107" s="105" t="str">
        <f>IF(Fastest!$T112&lt;&gt;"",Fastest!$S112,"")</f>
        <v/>
      </c>
      <c r="D107" s="105" t="str">
        <f>IF(Fastest!$T112&lt;&gt;"",Fastest!$K112,"")</f>
        <v/>
      </c>
      <c r="E107" s="113" t="str">
        <f>IF(Fastest!T112&lt;&gt;"",Fastest!T112,"")</f>
        <v/>
      </c>
    </row>
    <row r="108" spans="1:5">
      <c r="A108" s="105">
        <v>104</v>
      </c>
      <c r="B108" s="105" t="str">
        <f>IF(Fastest!$T113&lt;&gt;"",Fastest!D113,"")</f>
        <v/>
      </c>
      <c r="C108" s="105" t="str">
        <f>IF(Fastest!$T113&lt;&gt;"",Fastest!$S113,"")</f>
        <v/>
      </c>
      <c r="D108" s="105" t="str">
        <f>IF(Fastest!$T113&lt;&gt;"",Fastest!$K113,"")</f>
        <v/>
      </c>
      <c r="E108" s="113" t="str">
        <f>IF(Fastest!T113&lt;&gt;"",Fastest!T113,"")</f>
        <v/>
      </c>
    </row>
    <row r="109" spans="1:5">
      <c r="A109" s="105">
        <v>105</v>
      </c>
      <c r="B109" s="105" t="str">
        <f>IF(Fastest!$T114&lt;&gt;"",Fastest!D114,"")</f>
        <v/>
      </c>
      <c r="C109" s="105" t="str">
        <f>IF(Fastest!$T114&lt;&gt;"",Fastest!$S114,"")</f>
        <v/>
      </c>
      <c r="D109" s="105" t="str">
        <f>IF(Fastest!$T114&lt;&gt;"",Fastest!$K114,"")</f>
        <v/>
      </c>
      <c r="E109" s="113" t="str">
        <f>IF(Fastest!T114&lt;&gt;"",Fastest!T114,"")</f>
        <v/>
      </c>
    </row>
    <row r="110" spans="1:5">
      <c r="A110" s="105">
        <v>106</v>
      </c>
      <c r="B110" s="105" t="str">
        <f>IF(Fastest!$T115&lt;&gt;"",Fastest!D115,"")</f>
        <v/>
      </c>
      <c r="C110" s="105" t="str">
        <f>IF(Fastest!$T115&lt;&gt;"",Fastest!$S115,"")</f>
        <v/>
      </c>
      <c r="D110" s="105" t="str">
        <f>IF(Fastest!$T115&lt;&gt;"",Fastest!$K115,"")</f>
        <v/>
      </c>
      <c r="E110" s="113" t="str">
        <f>IF(Fastest!T115&lt;&gt;"",Fastest!T115,"")</f>
        <v/>
      </c>
    </row>
    <row r="111" spans="1:5">
      <c r="A111" s="105">
        <v>107</v>
      </c>
      <c r="B111" s="105" t="str">
        <f>IF(Fastest!$T116&lt;&gt;"",Fastest!D116,"")</f>
        <v/>
      </c>
      <c r="C111" s="105" t="str">
        <f>IF(Fastest!$T116&lt;&gt;"",Fastest!$S116,"")</f>
        <v/>
      </c>
      <c r="D111" s="105" t="str">
        <f>IF(Fastest!$T116&lt;&gt;"",Fastest!$K116,"")</f>
        <v/>
      </c>
      <c r="E111" s="113" t="str">
        <f>IF(Fastest!T116&lt;&gt;"",Fastest!T116,"")</f>
        <v/>
      </c>
    </row>
    <row r="112" spans="1:5">
      <c r="A112" s="105">
        <v>108</v>
      </c>
      <c r="B112" s="105" t="str">
        <f>IF(Fastest!$T117&lt;&gt;"",Fastest!D117,"")</f>
        <v/>
      </c>
      <c r="C112" s="105" t="str">
        <f>IF(Fastest!$T117&lt;&gt;"",Fastest!$S117,"")</f>
        <v/>
      </c>
      <c r="D112" s="105" t="str">
        <f>IF(Fastest!$T117&lt;&gt;"",Fastest!$K117,"")</f>
        <v/>
      </c>
      <c r="E112" s="113" t="str">
        <f>IF(Fastest!T117&lt;&gt;"",Fastest!T117,"")</f>
        <v/>
      </c>
    </row>
    <row r="113" spans="1:5">
      <c r="A113" s="105">
        <v>109</v>
      </c>
      <c r="B113" s="105" t="str">
        <f>IF(Fastest!$T118&lt;&gt;"",Fastest!D118,"")</f>
        <v/>
      </c>
      <c r="C113" s="105" t="str">
        <f>IF(Fastest!$T118&lt;&gt;"",Fastest!$S118,"")</f>
        <v/>
      </c>
      <c r="D113" s="105" t="str">
        <f>IF(Fastest!$T118&lt;&gt;"",Fastest!$K118,"")</f>
        <v/>
      </c>
      <c r="E113" s="113" t="str">
        <f>IF(Fastest!T118&lt;&gt;"",Fastest!T118,"")</f>
        <v/>
      </c>
    </row>
    <row r="114" spans="1:5">
      <c r="A114" s="105">
        <v>110</v>
      </c>
      <c r="B114" s="105" t="str">
        <f>IF(Fastest!$T119&lt;&gt;"",Fastest!D119,"")</f>
        <v/>
      </c>
      <c r="C114" s="105" t="str">
        <f>IF(Fastest!$T119&lt;&gt;"",Fastest!$S119,"")</f>
        <v/>
      </c>
      <c r="D114" s="105" t="str">
        <f>IF(Fastest!$T119&lt;&gt;"",Fastest!$K119,"")</f>
        <v/>
      </c>
      <c r="E114" s="113" t="str">
        <f>IF(Fastest!T119&lt;&gt;"",Fastest!T119,"")</f>
        <v/>
      </c>
    </row>
    <row r="115" spans="1:5">
      <c r="A115" s="105">
        <v>111</v>
      </c>
      <c r="B115" s="105" t="str">
        <f>IF(Fastest!$T120&lt;&gt;"",Fastest!D120,"")</f>
        <v/>
      </c>
      <c r="C115" s="105" t="str">
        <f>IF(Fastest!$T120&lt;&gt;"",Fastest!$S120,"")</f>
        <v/>
      </c>
      <c r="D115" s="105" t="str">
        <f>IF(Fastest!$T120&lt;&gt;"",Fastest!$K120,"")</f>
        <v/>
      </c>
      <c r="E115" s="113" t="str">
        <f>IF(Fastest!T120&lt;&gt;"",Fastest!T120,"")</f>
        <v/>
      </c>
    </row>
    <row r="116" spans="1:5">
      <c r="A116" s="105">
        <v>112</v>
      </c>
      <c r="B116" s="105" t="str">
        <f>IF(Fastest!$T121&lt;&gt;"",Fastest!D121,"")</f>
        <v/>
      </c>
      <c r="C116" s="105" t="str">
        <f>IF(Fastest!$T121&lt;&gt;"",Fastest!$S121,"")</f>
        <v/>
      </c>
      <c r="D116" s="105" t="str">
        <f>IF(Fastest!$T121&lt;&gt;"",Fastest!$K121,"")</f>
        <v/>
      </c>
      <c r="E116" s="113" t="str">
        <f>IF(Fastest!T121&lt;&gt;"",Fastest!T121,"")</f>
        <v/>
      </c>
    </row>
    <row r="117" spans="1:5">
      <c r="A117" s="105">
        <v>113</v>
      </c>
      <c r="B117" s="105" t="str">
        <f>IF(Fastest!$T122&lt;&gt;"",Fastest!D122,"")</f>
        <v/>
      </c>
      <c r="C117" s="105" t="str">
        <f>IF(Fastest!$T122&lt;&gt;"",Fastest!$S122,"")</f>
        <v/>
      </c>
      <c r="D117" s="105" t="str">
        <f>IF(Fastest!$T122&lt;&gt;"",Fastest!$K122,"")</f>
        <v/>
      </c>
      <c r="E117" s="113" t="str">
        <f>IF(Fastest!T122&lt;&gt;"",Fastest!T122,"")</f>
        <v/>
      </c>
    </row>
    <row r="118" spans="1:5">
      <c r="A118" s="105">
        <v>114</v>
      </c>
      <c r="B118" s="105" t="str">
        <f>IF(Fastest!$T123&lt;&gt;"",Fastest!D123,"")</f>
        <v/>
      </c>
      <c r="C118" s="105" t="str">
        <f>IF(Fastest!$T123&lt;&gt;"",Fastest!$S123,"")</f>
        <v/>
      </c>
      <c r="D118" s="105" t="str">
        <f>IF(Fastest!$T123&lt;&gt;"",Fastest!$K123,"")</f>
        <v/>
      </c>
      <c r="E118" s="113" t="str">
        <f>IF(Fastest!T123&lt;&gt;"",Fastest!T123,"")</f>
        <v/>
      </c>
    </row>
    <row r="119" spans="1:5">
      <c r="A119" s="105">
        <v>115</v>
      </c>
      <c r="B119" s="105" t="str">
        <f>IF(Fastest!$T124&lt;&gt;"",Fastest!D124,"")</f>
        <v/>
      </c>
      <c r="C119" s="105" t="str">
        <f>IF(Fastest!$T124&lt;&gt;"",Fastest!$S124,"")</f>
        <v/>
      </c>
      <c r="D119" s="105" t="str">
        <f>IF(Fastest!$T124&lt;&gt;"",Fastest!$K124,"")</f>
        <v/>
      </c>
      <c r="E119" s="113" t="str">
        <f>IF(Fastest!T124&lt;&gt;"",Fastest!T124,"")</f>
        <v/>
      </c>
    </row>
    <row r="120" spans="1:5">
      <c r="A120" s="105">
        <v>116</v>
      </c>
      <c r="B120" s="105" t="str">
        <f>IF(Fastest!$T125&lt;&gt;"",Fastest!D125,"")</f>
        <v/>
      </c>
      <c r="C120" s="105" t="str">
        <f>IF(Fastest!$T125&lt;&gt;"",Fastest!$S125,"")</f>
        <v/>
      </c>
      <c r="D120" s="105" t="str">
        <f>IF(Fastest!$T125&lt;&gt;"",Fastest!$K125,"")</f>
        <v/>
      </c>
      <c r="E120" s="113" t="str">
        <f>IF(Fastest!T125&lt;&gt;"",Fastest!T125,"")</f>
        <v/>
      </c>
    </row>
    <row r="121" spans="1:5">
      <c r="A121" s="105">
        <v>117</v>
      </c>
      <c r="B121" s="105" t="str">
        <f>IF(Fastest!$T126&lt;&gt;"",Fastest!D126,"")</f>
        <v/>
      </c>
      <c r="C121" s="105" t="str">
        <f>IF(Fastest!$T126&lt;&gt;"",Fastest!$S126,"")</f>
        <v/>
      </c>
      <c r="D121" s="105" t="str">
        <f>IF(Fastest!$T126&lt;&gt;"",Fastest!$K126,"")</f>
        <v/>
      </c>
      <c r="E121" s="113" t="str">
        <f>IF(Fastest!T126&lt;&gt;"",Fastest!T126,"")</f>
        <v/>
      </c>
    </row>
    <row r="122" spans="1:5">
      <c r="A122" s="105">
        <v>118</v>
      </c>
      <c r="B122" s="105" t="str">
        <f>IF(Fastest!$T127&lt;&gt;"",Fastest!D127,"")</f>
        <v/>
      </c>
      <c r="C122" s="105" t="str">
        <f>IF(Fastest!$T127&lt;&gt;"",Fastest!$S127,"")</f>
        <v/>
      </c>
      <c r="D122" s="105" t="str">
        <f>IF(Fastest!$T127&lt;&gt;"",Fastest!$K127,"")</f>
        <v/>
      </c>
      <c r="E122" s="113" t="str">
        <f>IF(Fastest!T127&lt;&gt;"",Fastest!T127,"")</f>
        <v/>
      </c>
    </row>
    <row r="123" spans="1:5">
      <c r="A123" s="105">
        <v>119</v>
      </c>
      <c r="B123" s="105" t="str">
        <f>IF(Fastest!$T128&lt;&gt;"",Fastest!D128,"")</f>
        <v/>
      </c>
      <c r="C123" s="105" t="str">
        <f>IF(Fastest!$T128&lt;&gt;"",Fastest!$S128,"")</f>
        <v/>
      </c>
      <c r="D123" s="105" t="str">
        <f>IF(Fastest!$T128&lt;&gt;"",Fastest!$K128,"")</f>
        <v/>
      </c>
      <c r="E123" s="113" t="str">
        <f>IF(Fastest!T128&lt;&gt;"",Fastest!T128,"")</f>
        <v/>
      </c>
    </row>
    <row r="124" spans="1:5">
      <c r="A124" s="105">
        <v>120</v>
      </c>
      <c r="B124" s="105" t="str">
        <f>IF(Fastest!$T129&lt;&gt;"",Fastest!D129,"")</f>
        <v/>
      </c>
      <c r="C124" s="105" t="str">
        <f>IF(Fastest!$T129&lt;&gt;"",Fastest!$S129,"")</f>
        <v/>
      </c>
      <c r="D124" s="105" t="str">
        <f>IF(Fastest!$T129&lt;&gt;"",Fastest!$K129,"")</f>
        <v/>
      </c>
      <c r="E124" s="113" t="str">
        <f>IF(Fastest!T129&lt;&gt;"",Fastest!T129,"")</f>
        <v/>
      </c>
    </row>
    <row r="125" spans="1:5">
      <c r="A125" s="105">
        <v>121</v>
      </c>
      <c r="B125" s="105" t="str">
        <f>IF(Fastest!$T130&lt;&gt;"",Fastest!D130,"")</f>
        <v/>
      </c>
      <c r="C125" s="105" t="str">
        <f>IF(Fastest!$T130&lt;&gt;"",Fastest!$S130,"")</f>
        <v/>
      </c>
      <c r="D125" s="105" t="str">
        <f>IF(Fastest!$T130&lt;&gt;"",Fastest!$K130,"")</f>
        <v/>
      </c>
      <c r="E125" s="113" t="str">
        <f>IF(Fastest!T130&lt;&gt;"",Fastest!T130,"")</f>
        <v/>
      </c>
    </row>
    <row r="126" spans="1:5">
      <c r="A126" s="105">
        <v>122</v>
      </c>
      <c r="B126" s="105" t="str">
        <f>IF(Fastest!$T131&lt;&gt;"",Fastest!D131,"")</f>
        <v/>
      </c>
      <c r="C126" s="105" t="str">
        <f>IF(Fastest!$T131&lt;&gt;"",Fastest!$S131,"")</f>
        <v/>
      </c>
      <c r="D126" s="105" t="str">
        <f>IF(Fastest!$T131&lt;&gt;"",Fastest!$K131,"")</f>
        <v/>
      </c>
      <c r="E126" s="113" t="str">
        <f>IF(Fastest!T131&lt;&gt;"",Fastest!T131,"")</f>
        <v/>
      </c>
    </row>
    <row r="127" spans="1:5">
      <c r="A127" s="105">
        <v>123</v>
      </c>
      <c r="B127" s="105" t="str">
        <f>IF(Fastest!$T132&lt;&gt;"",Fastest!D132,"")</f>
        <v/>
      </c>
      <c r="C127" s="105" t="str">
        <f>IF(Fastest!$T132&lt;&gt;"",Fastest!$S132,"")</f>
        <v/>
      </c>
      <c r="D127" s="105" t="str">
        <f>IF(Fastest!$T132&lt;&gt;"",Fastest!$K132,"")</f>
        <v/>
      </c>
      <c r="E127" s="113" t="str">
        <f>IF(Fastest!T132&lt;&gt;"",Fastest!T132,"")</f>
        <v/>
      </c>
    </row>
    <row r="128" spans="1:5">
      <c r="A128" s="105">
        <v>124</v>
      </c>
      <c r="B128" s="105" t="str">
        <f>IF(Fastest!$T133&lt;&gt;"",Fastest!D133,"")</f>
        <v/>
      </c>
      <c r="C128" s="105" t="str">
        <f>IF(Fastest!$T133&lt;&gt;"",Fastest!$S133,"")</f>
        <v/>
      </c>
      <c r="D128" s="105" t="str">
        <f>IF(Fastest!$T133&lt;&gt;"",Fastest!$K133,"")</f>
        <v/>
      </c>
      <c r="E128" s="113" t="str">
        <f>IF(Fastest!T133&lt;&gt;"",Fastest!T133,"")</f>
        <v/>
      </c>
    </row>
    <row r="129" spans="1:5">
      <c r="A129" s="105">
        <v>125</v>
      </c>
      <c r="B129" s="105" t="str">
        <f>IF(Fastest!$T134&lt;&gt;"",Fastest!D134,"")</f>
        <v/>
      </c>
      <c r="C129" s="105" t="str">
        <f>IF(Fastest!$T134&lt;&gt;"",Fastest!$S134,"")</f>
        <v/>
      </c>
      <c r="D129" s="105" t="str">
        <f>IF(Fastest!$T134&lt;&gt;"",Fastest!$K134,"")</f>
        <v/>
      </c>
      <c r="E129" s="113" t="str">
        <f>IF(Fastest!T134&lt;&gt;"",Fastest!T134,"")</f>
        <v/>
      </c>
    </row>
    <row r="130" spans="1:5">
      <c r="A130" s="105">
        <v>126</v>
      </c>
      <c r="B130" s="105" t="str">
        <f>IF(Fastest!$T135&lt;&gt;"",Fastest!D135,"")</f>
        <v/>
      </c>
      <c r="C130" s="105" t="str">
        <f>IF(Fastest!$T135&lt;&gt;"",Fastest!$S135,"")</f>
        <v/>
      </c>
      <c r="D130" s="105" t="str">
        <f>IF(Fastest!$T135&lt;&gt;"",Fastest!$K135,"")</f>
        <v/>
      </c>
      <c r="E130" s="113" t="str">
        <f>IF(Fastest!T135&lt;&gt;"",Fastest!T135,"")</f>
        <v/>
      </c>
    </row>
    <row r="131" spans="1:5">
      <c r="A131" s="105">
        <v>127</v>
      </c>
      <c r="B131" s="105" t="str">
        <f>IF(Fastest!$T136&lt;&gt;"",Fastest!D136,"")</f>
        <v/>
      </c>
      <c r="C131" s="105" t="str">
        <f>IF(Fastest!$T136&lt;&gt;"",Fastest!$S136,"")</f>
        <v/>
      </c>
      <c r="D131" s="105" t="str">
        <f>IF(Fastest!$T136&lt;&gt;"",Fastest!$K136,"")</f>
        <v/>
      </c>
      <c r="E131" s="113" t="str">
        <f>IF(Fastest!T136&lt;&gt;"",Fastest!T136,"")</f>
        <v/>
      </c>
    </row>
    <row r="132" spans="1:5">
      <c r="A132" s="105">
        <v>128</v>
      </c>
      <c r="B132" s="105" t="str">
        <f>IF(Fastest!$T137&lt;&gt;"",Fastest!D137,"")</f>
        <v/>
      </c>
      <c r="C132" s="105" t="str">
        <f>IF(Fastest!$T137&lt;&gt;"",Fastest!$S137,"")</f>
        <v/>
      </c>
      <c r="D132" s="105" t="str">
        <f>IF(Fastest!$T137&lt;&gt;"",Fastest!$K137,"")</f>
        <v/>
      </c>
      <c r="E132" s="113" t="str">
        <f>IF(Fastest!T137&lt;&gt;"",Fastest!T137,"")</f>
        <v/>
      </c>
    </row>
    <row r="133" spans="1:5">
      <c r="A133" s="105">
        <v>129</v>
      </c>
      <c r="B133" s="105" t="str">
        <f>IF(Fastest!$T138&lt;&gt;"",Fastest!D138,"")</f>
        <v/>
      </c>
      <c r="C133" s="105" t="str">
        <f>IF(Fastest!$T138&lt;&gt;"",Fastest!$S138,"")</f>
        <v/>
      </c>
      <c r="D133" s="105" t="str">
        <f>IF(Fastest!$T138&lt;&gt;"",Fastest!$K138,"")</f>
        <v/>
      </c>
      <c r="E133" s="113" t="str">
        <f>IF(Fastest!T138&lt;&gt;"",Fastest!T138,"")</f>
        <v/>
      </c>
    </row>
    <row r="134" spans="1:5">
      <c r="A134" s="105">
        <v>130</v>
      </c>
      <c r="B134" s="105" t="str">
        <f>IF(Fastest!$T139&lt;&gt;"",Fastest!D139,"")</f>
        <v/>
      </c>
      <c r="C134" s="105" t="str">
        <f>IF(Fastest!$T139&lt;&gt;"",Fastest!$S139,"")</f>
        <v/>
      </c>
      <c r="D134" s="105" t="str">
        <f>IF(Fastest!$T139&lt;&gt;"",Fastest!$K139,"")</f>
        <v/>
      </c>
      <c r="E134" s="113" t="str">
        <f>IF(Fastest!T139&lt;&gt;"",Fastest!T139,"")</f>
        <v/>
      </c>
    </row>
    <row r="135" spans="1:5">
      <c r="A135" s="105">
        <v>131</v>
      </c>
      <c r="B135" s="105" t="str">
        <f>IF(Fastest!$T140&lt;&gt;"",Fastest!D140,"")</f>
        <v/>
      </c>
      <c r="C135" s="105" t="str">
        <f>IF(Fastest!$T140&lt;&gt;"",Fastest!$S140,"")</f>
        <v/>
      </c>
      <c r="D135" s="105" t="str">
        <f>IF(Fastest!$T140&lt;&gt;"",Fastest!$K140,"")</f>
        <v/>
      </c>
      <c r="E135" s="113" t="str">
        <f>IF(Fastest!T140&lt;&gt;"",Fastest!T140,"")</f>
        <v/>
      </c>
    </row>
    <row r="136" spans="1:5">
      <c r="A136" s="105">
        <v>132</v>
      </c>
      <c r="B136" s="105" t="str">
        <f>IF(Fastest!$T141&lt;&gt;"",Fastest!D141,"")</f>
        <v/>
      </c>
      <c r="C136" s="105" t="str">
        <f>IF(Fastest!$T141&lt;&gt;"",Fastest!$S141,"")</f>
        <v/>
      </c>
      <c r="D136" s="105" t="str">
        <f>IF(Fastest!$T141&lt;&gt;"",Fastest!$K141,"")</f>
        <v/>
      </c>
      <c r="E136" s="113" t="str">
        <f>IF(Fastest!T141&lt;&gt;"",Fastest!T141,"")</f>
        <v/>
      </c>
    </row>
    <row r="137" spans="1:5">
      <c r="A137" s="105">
        <v>133</v>
      </c>
      <c r="B137" s="105" t="str">
        <f>IF(Fastest!$T142&lt;&gt;"",Fastest!D142,"")</f>
        <v/>
      </c>
      <c r="C137" s="105" t="str">
        <f>IF(Fastest!$T142&lt;&gt;"",Fastest!$S142,"")</f>
        <v/>
      </c>
      <c r="D137" s="105" t="str">
        <f>IF(Fastest!$T142&lt;&gt;"",Fastest!$K142,"")</f>
        <v/>
      </c>
      <c r="E137" s="113" t="str">
        <f>IF(Fastest!T142&lt;&gt;"",Fastest!T142,"")</f>
        <v/>
      </c>
    </row>
    <row r="138" spans="1:5">
      <c r="A138" s="105">
        <v>134</v>
      </c>
      <c r="B138" s="105" t="str">
        <f>IF(Fastest!$T143&lt;&gt;"",Fastest!D143,"")</f>
        <v/>
      </c>
      <c r="C138" s="105" t="str">
        <f>IF(Fastest!$T143&lt;&gt;"",Fastest!$S143,"")</f>
        <v/>
      </c>
      <c r="D138" s="105" t="str">
        <f>IF(Fastest!$T143&lt;&gt;"",Fastest!$K143,"")</f>
        <v/>
      </c>
      <c r="E138" s="113" t="str">
        <f>IF(Fastest!T143&lt;&gt;"",Fastest!T143,"")</f>
        <v/>
      </c>
    </row>
    <row r="139" spans="1:5">
      <c r="A139" s="105">
        <v>135</v>
      </c>
      <c r="B139" s="105" t="str">
        <f>IF(Fastest!$T144&lt;&gt;"",Fastest!D144,"")</f>
        <v/>
      </c>
      <c r="C139" s="105" t="str">
        <f>IF(Fastest!$T144&lt;&gt;"",Fastest!$S144,"")</f>
        <v/>
      </c>
      <c r="D139" s="105" t="str">
        <f>IF(Fastest!$T144&lt;&gt;"",Fastest!$K144,"")</f>
        <v/>
      </c>
      <c r="E139" s="113" t="str">
        <f>IF(Fastest!T144&lt;&gt;"",Fastest!T144,"")</f>
        <v/>
      </c>
    </row>
    <row r="140" spans="1:5">
      <c r="A140" s="105">
        <v>136</v>
      </c>
      <c r="B140" s="105" t="str">
        <f>IF(Fastest!$T145&lt;&gt;"",Fastest!D145,"")</f>
        <v/>
      </c>
      <c r="C140" s="105" t="str">
        <f>IF(Fastest!$T145&lt;&gt;"",Fastest!$S145,"")</f>
        <v/>
      </c>
      <c r="D140" s="105" t="str">
        <f>IF(Fastest!$T145&lt;&gt;"",Fastest!$K145,"")</f>
        <v/>
      </c>
      <c r="E140" s="113" t="str">
        <f>IF(Fastest!T145&lt;&gt;"",Fastest!T145,"")</f>
        <v/>
      </c>
    </row>
    <row r="141" spans="1:5">
      <c r="A141" s="105">
        <v>137</v>
      </c>
      <c r="B141" s="105" t="str">
        <f>IF(Fastest!$T146&lt;&gt;"",Fastest!D146,"")</f>
        <v/>
      </c>
      <c r="C141" s="105" t="str">
        <f>IF(Fastest!$T146&lt;&gt;"",Fastest!$S146,"")</f>
        <v/>
      </c>
      <c r="D141" s="105" t="str">
        <f>IF(Fastest!$T146&lt;&gt;"",Fastest!$K146,"")</f>
        <v/>
      </c>
      <c r="E141" s="113" t="str">
        <f>IF(Fastest!T146&lt;&gt;"",Fastest!T146,"")</f>
        <v/>
      </c>
    </row>
    <row r="142" spans="1:5">
      <c r="A142" s="105">
        <v>138</v>
      </c>
      <c r="B142" s="105" t="str">
        <f>IF(Fastest!$T147&lt;&gt;"",Fastest!D147,"")</f>
        <v/>
      </c>
      <c r="C142" s="105" t="str">
        <f>IF(Fastest!$T147&lt;&gt;"",Fastest!$S147,"")</f>
        <v/>
      </c>
      <c r="D142" s="105" t="str">
        <f>IF(Fastest!$T147&lt;&gt;"",Fastest!$K147,"")</f>
        <v/>
      </c>
      <c r="E142" s="113" t="str">
        <f>IF(Fastest!T147&lt;&gt;"",Fastest!T147,"")</f>
        <v/>
      </c>
    </row>
    <row r="143" spans="1:5">
      <c r="A143" s="105">
        <v>139</v>
      </c>
      <c r="B143" s="105" t="str">
        <f>IF(Fastest!$T148&lt;&gt;"",Fastest!D148,"")</f>
        <v/>
      </c>
      <c r="C143" s="105" t="str">
        <f>IF(Fastest!$T148&lt;&gt;"",Fastest!$S148,"")</f>
        <v/>
      </c>
      <c r="D143" s="105" t="str">
        <f>IF(Fastest!$T148&lt;&gt;"",Fastest!$K148,"")</f>
        <v/>
      </c>
      <c r="E143" s="113" t="str">
        <f>IF(Fastest!T148&lt;&gt;"",Fastest!T148,"")</f>
        <v/>
      </c>
    </row>
    <row r="144" spans="1:5">
      <c r="A144" s="105">
        <v>140</v>
      </c>
      <c r="B144" s="105" t="str">
        <f>IF(Fastest!$T149&lt;&gt;"",Fastest!D149,"")</f>
        <v/>
      </c>
      <c r="C144" s="105" t="str">
        <f>IF(Fastest!$T149&lt;&gt;"",Fastest!$S149,"")</f>
        <v/>
      </c>
      <c r="D144" s="105" t="str">
        <f>IF(Fastest!$T149&lt;&gt;"",Fastest!$K149,"")</f>
        <v/>
      </c>
      <c r="E144" s="113" t="str">
        <f>IF(Fastest!T149&lt;&gt;"",Fastest!T149,"")</f>
        <v/>
      </c>
    </row>
    <row r="145" spans="1:5">
      <c r="A145" s="105">
        <v>141</v>
      </c>
      <c r="B145" s="105" t="str">
        <f>IF(Fastest!$T150&lt;&gt;"",Fastest!D150,"")</f>
        <v/>
      </c>
      <c r="C145" s="105" t="str">
        <f>IF(Fastest!$T150&lt;&gt;"",Fastest!$S150,"")</f>
        <v/>
      </c>
      <c r="D145" s="105" t="str">
        <f>IF(Fastest!$T150&lt;&gt;"",Fastest!$K150,"")</f>
        <v/>
      </c>
      <c r="E145" s="113" t="str">
        <f>IF(Fastest!T150&lt;&gt;"",Fastest!T150,"")</f>
        <v/>
      </c>
    </row>
    <row r="146" spans="1:5">
      <c r="A146" s="105">
        <v>142</v>
      </c>
      <c r="B146" s="105" t="str">
        <f>IF(Fastest!$T151&lt;&gt;"",Fastest!D151,"")</f>
        <v/>
      </c>
      <c r="C146" s="105" t="str">
        <f>IF(Fastest!$T151&lt;&gt;"",Fastest!$S151,"")</f>
        <v/>
      </c>
      <c r="D146" s="105" t="str">
        <f>IF(Fastest!$T151&lt;&gt;"",Fastest!$K151,"")</f>
        <v/>
      </c>
      <c r="E146" s="113" t="str">
        <f>IF(Fastest!T151&lt;&gt;"",Fastest!T151,"")</f>
        <v/>
      </c>
    </row>
    <row r="147" spans="1:5">
      <c r="A147" s="105">
        <v>143</v>
      </c>
      <c r="B147" s="105" t="str">
        <f>IF(Fastest!$T152&lt;&gt;"",Fastest!D152,"")</f>
        <v/>
      </c>
      <c r="C147" s="105" t="str">
        <f>IF(Fastest!$T152&lt;&gt;"",Fastest!$S152,"")</f>
        <v/>
      </c>
      <c r="D147" s="105" t="str">
        <f>IF(Fastest!$T152&lt;&gt;"",Fastest!$K152,"")</f>
        <v/>
      </c>
      <c r="E147" s="113" t="str">
        <f>IF(Fastest!T152&lt;&gt;"",Fastest!T152,"")</f>
        <v/>
      </c>
    </row>
    <row r="148" spans="1:5">
      <c r="A148" s="105">
        <v>144</v>
      </c>
      <c r="B148" s="105" t="str">
        <f>IF(Fastest!$T153&lt;&gt;"",Fastest!D153,"")</f>
        <v/>
      </c>
      <c r="C148" s="105" t="str">
        <f>IF(Fastest!$T153&lt;&gt;"",Fastest!$S153,"")</f>
        <v/>
      </c>
      <c r="D148" s="105" t="str">
        <f>IF(Fastest!$T153&lt;&gt;"",Fastest!$K153,"")</f>
        <v/>
      </c>
      <c r="E148" s="113" t="str">
        <f>IF(Fastest!T153&lt;&gt;"",Fastest!T153,"")</f>
        <v/>
      </c>
    </row>
    <row r="149" spans="1:5">
      <c r="A149" s="105">
        <v>145</v>
      </c>
      <c r="B149" s="105" t="str">
        <f>IF(Fastest!$T154&lt;&gt;"",Fastest!D154,"")</f>
        <v/>
      </c>
      <c r="C149" s="105" t="str">
        <f>IF(Fastest!$T154&lt;&gt;"",Fastest!$S154,"")</f>
        <v/>
      </c>
      <c r="D149" s="105" t="str">
        <f>IF(Fastest!$T154&lt;&gt;"",Fastest!$K154,"")</f>
        <v/>
      </c>
      <c r="E149" s="113" t="str">
        <f>IF(Fastest!T154&lt;&gt;"",Fastest!T154,"")</f>
        <v/>
      </c>
    </row>
    <row r="150" spans="1:5">
      <c r="A150" s="105">
        <v>146</v>
      </c>
      <c r="B150" s="105" t="str">
        <f>IF(Fastest!$T155&lt;&gt;"",Fastest!D155,"")</f>
        <v/>
      </c>
      <c r="C150" s="105" t="str">
        <f>IF(Fastest!$T155&lt;&gt;"",Fastest!$S155,"")</f>
        <v/>
      </c>
      <c r="D150" s="105" t="str">
        <f>IF(Fastest!$T155&lt;&gt;"",Fastest!$K155,"")</f>
        <v/>
      </c>
      <c r="E150" s="113" t="str">
        <f>IF(Fastest!T155&lt;&gt;"",Fastest!T155,"")</f>
        <v/>
      </c>
    </row>
    <row r="151" spans="1:5">
      <c r="A151" s="105">
        <v>147</v>
      </c>
      <c r="B151" s="105" t="str">
        <f>IF(Fastest!$T156&lt;&gt;"",Fastest!D156,"")</f>
        <v/>
      </c>
      <c r="C151" s="105" t="str">
        <f>IF(Fastest!$T156&lt;&gt;"",Fastest!$S156,"")</f>
        <v/>
      </c>
      <c r="D151" s="105" t="str">
        <f>IF(Fastest!$T156&lt;&gt;"",Fastest!$K156,"")</f>
        <v/>
      </c>
      <c r="E151" s="113" t="str">
        <f>IF(Fastest!T156&lt;&gt;"",Fastest!T156,"")</f>
        <v/>
      </c>
    </row>
    <row r="152" spans="1:5">
      <c r="A152" s="105">
        <v>148</v>
      </c>
      <c r="B152" s="105" t="str">
        <f>IF(Fastest!$T157&lt;&gt;"",Fastest!D157,"")</f>
        <v/>
      </c>
      <c r="C152" s="105" t="str">
        <f>IF(Fastest!$T157&lt;&gt;"",Fastest!$S157,"")</f>
        <v/>
      </c>
      <c r="D152" s="105" t="str">
        <f>IF(Fastest!$T157&lt;&gt;"",Fastest!$K157,"")</f>
        <v/>
      </c>
      <c r="E152" s="113" t="str">
        <f>IF(Fastest!T157&lt;&gt;"",Fastest!T157,"")</f>
        <v/>
      </c>
    </row>
    <row r="153" spans="1:5">
      <c r="A153" s="105">
        <v>149</v>
      </c>
      <c r="B153" s="105" t="str">
        <f>IF(Fastest!$T158&lt;&gt;"",Fastest!D158,"")</f>
        <v/>
      </c>
      <c r="C153" s="105" t="str">
        <f>IF(Fastest!$T158&lt;&gt;"",Fastest!$S158,"")</f>
        <v/>
      </c>
      <c r="D153" s="105" t="str">
        <f>IF(Fastest!$T158&lt;&gt;"",Fastest!$K158,"")</f>
        <v/>
      </c>
      <c r="E153" s="113" t="str">
        <f>IF(Fastest!T158&lt;&gt;"",Fastest!T158,"")</f>
        <v/>
      </c>
    </row>
    <row r="154" spans="1:5">
      <c r="A154" s="105">
        <v>150</v>
      </c>
      <c r="B154" s="105" t="str">
        <f>IF(Fastest!$T159&lt;&gt;"",Fastest!D159,"")</f>
        <v/>
      </c>
      <c r="C154" s="105" t="str">
        <f>IF(Fastest!$T159&lt;&gt;"",Fastest!$S159,"")</f>
        <v/>
      </c>
      <c r="D154" s="105" t="str">
        <f>IF(Fastest!$T159&lt;&gt;"",Fastest!$K159,"")</f>
        <v/>
      </c>
      <c r="E154" s="113" t="str">
        <f>IF(Fastest!T159&lt;&gt;"",Fastest!T159,"")</f>
        <v/>
      </c>
    </row>
    <row r="155" spans="1:5">
      <c r="A155" s="105">
        <v>151</v>
      </c>
      <c r="B155" s="105" t="str">
        <f>IF(Fastest!$T160&lt;&gt;"",Fastest!D160,"")</f>
        <v/>
      </c>
      <c r="C155" s="105" t="str">
        <f>IF(Fastest!$T160&lt;&gt;"",Fastest!$S160,"")</f>
        <v/>
      </c>
      <c r="D155" s="105" t="str">
        <f>IF(Fastest!$T160&lt;&gt;"",Fastest!$K160,"")</f>
        <v/>
      </c>
      <c r="E155" s="113" t="str">
        <f>IF(Fastest!T160&lt;&gt;"",Fastest!T160,"")</f>
        <v/>
      </c>
    </row>
    <row r="156" spans="1:5">
      <c r="A156" s="105">
        <v>152</v>
      </c>
      <c r="B156" s="105" t="str">
        <f>IF(Fastest!$T161&lt;&gt;"",Fastest!D161,"")</f>
        <v/>
      </c>
      <c r="C156" s="105" t="str">
        <f>IF(Fastest!$T161&lt;&gt;"",Fastest!$S161,"")</f>
        <v/>
      </c>
      <c r="D156" s="105" t="str">
        <f>IF(Fastest!$T161&lt;&gt;"",Fastest!$K161,"")</f>
        <v/>
      </c>
      <c r="E156" s="113" t="str">
        <f>IF(Fastest!T161&lt;&gt;"",Fastest!T161,"")</f>
        <v/>
      </c>
    </row>
    <row r="157" spans="1:5">
      <c r="A157" s="105">
        <v>153</v>
      </c>
      <c r="B157" s="105" t="str">
        <f>IF(Fastest!$T162&lt;&gt;"",Fastest!D162,"")</f>
        <v/>
      </c>
      <c r="C157" s="105" t="str">
        <f>IF(Fastest!$T162&lt;&gt;"",Fastest!$S162,"")</f>
        <v/>
      </c>
      <c r="D157" s="105" t="str">
        <f>IF(Fastest!$T162&lt;&gt;"",Fastest!$K162,"")</f>
        <v/>
      </c>
      <c r="E157" s="113" t="str">
        <f>IF(Fastest!T162&lt;&gt;"",Fastest!T162,"")</f>
        <v/>
      </c>
    </row>
    <row r="158" spans="1:5">
      <c r="A158" s="105">
        <v>154</v>
      </c>
      <c r="B158" s="105" t="str">
        <f>IF(Fastest!$T163&lt;&gt;"",Fastest!D163,"")</f>
        <v/>
      </c>
      <c r="C158" s="105" t="str">
        <f>IF(Fastest!$T163&lt;&gt;"",Fastest!$S163,"")</f>
        <v/>
      </c>
      <c r="D158" s="105" t="str">
        <f>IF(Fastest!$T163&lt;&gt;"",Fastest!$K163,"")</f>
        <v/>
      </c>
      <c r="E158" s="113" t="str">
        <f>IF(Fastest!T163&lt;&gt;"",Fastest!T163,"")</f>
        <v/>
      </c>
    </row>
    <row r="159" spans="1:5">
      <c r="A159" s="105">
        <v>155</v>
      </c>
      <c r="B159" s="105" t="str">
        <f>IF(Fastest!$T164&lt;&gt;"",Fastest!D164,"")</f>
        <v/>
      </c>
      <c r="C159" s="105" t="str">
        <f>IF(Fastest!$T164&lt;&gt;"",Fastest!$S164,"")</f>
        <v/>
      </c>
      <c r="D159" s="105" t="str">
        <f>IF(Fastest!$T164&lt;&gt;"",Fastest!$K164,"")</f>
        <v/>
      </c>
      <c r="E159" s="113" t="str">
        <f>IF(Fastest!T164&lt;&gt;"",Fastest!T164,"")</f>
        <v/>
      </c>
    </row>
    <row r="160" spans="1:5">
      <c r="A160" s="105">
        <v>156</v>
      </c>
      <c r="B160" s="105" t="str">
        <f>IF(Fastest!$T165&lt;&gt;"",Fastest!D165,"")</f>
        <v/>
      </c>
      <c r="C160" s="105" t="str">
        <f>IF(Fastest!$T165&lt;&gt;"",Fastest!$S165,"")</f>
        <v/>
      </c>
      <c r="D160" s="105" t="str">
        <f>IF(Fastest!$T165&lt;&gt;"",Fastest!$K165,"")</f>
        <v/>
      </c>
      <c r="E160" s="113" t="str">
        <f>IF(Fastest!T165&lt;&gt;"",Fastest!T165,"")</f>
        <v/>
      </c>
    </row>
    <row r="161" spans="1:5">
      <c r="A161" s="105">
        <v>157</v>
      </c>
      <c r="B161" s="105" t="str">
        <f>IF(Fastest!$T166&lt;&gt;"",Fastest!D166,"")</f>
        <v/>
      </c>
      <c r="C161" s="105" t="str">
        <f>IF(Fastest!$T166&lt;&gt;"",Fastest!$S166,"")</f>
        <v/>
      </c>
      <c r="D161" s="105" t="str">
        <f>IF(Fastest!$T166&lt;&gt;"",Fastest!$K166,"")</f>
        <v/>
      </c>
      <c r="E161" s="113" t="str">
        <f>IF(Fastest!T166&lt;&gt;"",Fastest!T166,"")</f>
        <v/>
      </c>
    </row>
    <row r="162" spans="1:5">
      <c r="A162" s="105">
        <v>158</v>
      </c>
      <c r="B162" s="105" t="str">
        <f>IF(Fastest!$T167&lt;&gt;"",Fastest!D167,"")</f>
        <v/>
      </c>
      <c r="C162" s="105" t="str">
        <f>IF(Fastest!$T167&lt;&gt;"",Fastest!$S167,"")</f>
        <v/>
      </c>
      <c r="D162" s="105" t="str">
        <f>IF(Fastest!$T167&lt;&gt;"",Fastest!$K167,"")</f>
        <v/>
      </c>
      <c r="E162" s="113" t="str">
        <f>IF(Fastest!T167&lt;&gt;"",Fastest!T167,"")</f>
        <v/>
      </c>
    </row>
    <row r="163" spans="1:5">
      <c r="A163" s="105">
        <v>159</v>
      </c>
      <c r="B163" s="105" t="str">
        <f>IF(Fastest!$T168&lt;&gt;"",Fastest!D168,"")</f>
        <v/>
      </c>
      <c r="C163" s="105" t="str">
        <f>IF(Fastest!$T168&lt;&gt;"",Fastest!$S168,"")</f>
        <v/>
      </c>
      <c r="D163" s="105" t="str">
        <f>IF(Fastest!$T168&lt;&gt;"",Fastest!$K168,"")</f>
        <v/>
      </c>
      <c r="E163" s="113" t="str">
        <f>IF(Fastest!T168&lt;&gt;"",Fastest!T168,"")</f>
        <v/>
      </c>
    </row>
    <row r="164" spans="1:5">
      <c r="A164" s="105">
        <v>160</v>
      </c>
      <c r="B164" s="105" t="str">
        <f>IF(Fastest!$T169&lt;&gt;"",Fastest!D169,"")</f>
        <v/>
      </c>
      <c r="C164" s="105" t="str">
        <f>IF(Fastest!$T169&lt;&gt;"",Fastest!$S169,"")</f>
        <v/>
      </c>
      <c r="D164" s="105" t="str">
        <f>IF(Fastest!$T169&lt;&gt;"",Fastest!$K169,"")</f>
        <v/>
      </c>
      <c r="E164" s="113" t="str">
        <f>IF(Fastest!T169&lt;&gt;"",Fastest!T169,"")</f>
        <v/>
      </c>
    </row>
    <row r="165" spans="1:5">
      <c r="A165" s="105">
        <v>161</v>
      </c>
      <c r="B165" s="105" t="str">
        <f>IF(Fastest!$T170&lt;&gt;"",Fastest!D170,"")</f>
        <v/>
      </c>
      <c r="C165" s="105" t="str">
        <f>IF(Fastest!$T170&lt;&gt;"",Fastest!$S170,"")</f>
        <v/>
      </c>
      <c r="D165" s="105" t="str">
        <f>IF(Fastest!$T170&lt;&gt;"",Fastest!$K170,"")</f>
        <v/>
      </c>
      <c r="E165" s="113" t="str">
        <f>IF(Fastest!T170&lt;&gt;"",Fastest!T170,"")</f>
        <v/>
      </c>
    </row>
    <row r="166" spans="1:5">
      <c r="A166" s="105">
        <v>162</v>
      </c>
      <c r="B166" s="105" t="str">
        <f>IF(Fastest!$T171&lt;&gt;"",Fastest!D171,"")</f>
        <v/>
      </c>
      <c r="C166" s="105" t="str">
        <f>IF(Fastest!$T171&lt;&gt;"",Fastest!$S171,"")</f>
        <v/>
      </c>
      <c r="D166" s="105" t="str">
        <f>IF(Fastest!$T171&lt;&gt;"",Fastest!$K171,"")</f>
        <v/>
      </c>
      <c r="E166" s="113" t="str">
        <f>IF(Fastest!T171&lt;&gt;"",Fastest!T171,"")</f>
        <v/>
      </c>
    </row>
    <row r="167" spans="1:5">
      <c r="A167" s="105">
        <v>163</v>
      </c>
      <c r="B167" s="105" t="str">
        <f>IF(Fastest!$T172&lt;&gt;"",Fastest!D172,"")</f>
        <v/>
      </c>
      <c r="C167" s="105" t="str">
        <f>IF(Fastest!$T172&lt;&gt;"",Fastest!$S172,"")</f>
        <v/>
      </c>
      <c r="D167" s="105" t="str">
        <f>IF(Fastest!$T172&lt;&gt;"",Fastest!$K172,"")</f>
        <v/>
      </c>
      <c r="E167" s="113" t="str">
        <f>IF(Fastest!T172&lt;&gt;"",Fastest!T172,"")</f>
        <v/>
      </c>
    </row>
    <row r="168" spans="1:5">
      <c r="A168" s="105">
        <v>164</v>
      </c>
      <c r="B168" s="105" t="str">
        <f>IF(Fastest!$T173&lt;&gt;"",Fastest!D173,"")</f>
        <v/>
      </c>
      <c r="C168" s="105" t="str">
        <f>IF(Fastest!$T173&lt;&gt;"",Fastest!$S173,"")</f>
        <v/>
      </c>
      <c r="D168" s="105" t="str">
        <f>IF(Fastest!$T173&lt;&gt;"",Fastest!$K173,"")</f>
        <v/>
      </c>
      <c r="E168" s="113" t="str">
        <f>IF(Fastest!T173&lt;&gt;"",Fastest!T173,"")</f>
        <v/>
      </c>
    </row>
    <row r="169" spans="1:5">
      <c r="A169" s="105">
        <v>165</v>
      </c>
      <c r="B169" s="105" t="str">
        <f>IF(Fastest!$T174&lt;&gt;"",Fastest!D174,"")</f>
        <v/>
      </c>
      <c r="C169" s="105" t="str">
        <f>IF(Fastest!$T174&lt;&gt;"",Fastest!$S174,"")</f>
        <v/>
      </c>
      <c r="D169" s="105" t="str">
        <f>IF(Fastest!$T174&lt;&gt;"",Fastest!$K174,"")</f>
        <v/>
      </c>
      <c r="E169" s="113" t="str">
        <f>IF(Fastest!T174&lt;&gt;"",Fastest!T174,"")</f>
        <v/>
      </c>
    </row>
    <row r="170" spans="1:5">
      <c r="A170" s="105">
        <v>166</v>
      </c>
      <c r="B170" s="105" t="str">
        <f>IF(Fastest!$T175&lt;&gt;"",Fastest!D175,"")</f>
        <v/>
      </c>
      <c r="C170" s="105" t="str">
        <f>IF(Fastest!$T175&lt;&gt;"",Fastest!$S175,"")</f>
        <v/>
      </c>
      <c r="D170" s="105" t="str">
        <f>IF(Fastest!$T175&lt;&gt;"",Fastest!$K175,"")</f>
        <v/>
      </c>
      <c r="E170" s="113" t="str">
        <f>IF(Fastest!T175&lt;&gt;"",Fastest!T175,"")</f>
        <v/>
      </c>
    </row>
    <row r="171" spans="1:5">
      <c r="A171" s="105">
        <v>167</v>
      </c>
      <c r="B171" s="105" t="str">
        <f>IF(Fastest!$T176&lt;&gt;"",Fastest!D176,"")</f>
        <v/>
      </c>
      <c r="C171" s="105" t="str">
        <f>IF(Fastest!$T176&lt;&gt;"",Fastest!$S176,"")</f>
        <v/>
      </c>
      <c r="D171" s="105" t="str">
        <f>IF(Fastest!$T176&lt;&gt;"",Fastest!$K176,"")</f>
        <v/>
      </c>
      <c r="E171" s="113" t="str">
        <f>IF(Fastest!T176&lt;&gt;"",Fastest!T176,"")</f>
        <v/>
      </c>
    </row>
    <row r="172" spans="1:5">
      <c r="A172" s="105">
        <v>168</v>
      </c>
      <c r="B172" s="105" t="str">
        <f>IF(Fastest!$T177&lt;&gt;"",Fastest!D177,"")</f>
        <v/>
      </c>
      <c r="C172" s="105" t="str">
        <f>IF(Fastest!$T177&lt;&gt;"",Fastest!$S177,"")</f>
        <v/>
      </c>
      <c r="D172" s="105" t="str">
        <f>IF(Fastest!$T177&lt;&gt;"",Fastest!$K177,"")</f>
        <v/>
      </c>
      <c r="E172" s="113" t="str">
        <f>IF(Fastest!T177&lt;&gt;"",Fastest!T177,"")</f>
        <v/>
      </c>
    </row>
    <row r="173" spans="1:5">
      <c r="A173" s="105">
        <v>169</v>
      </c>
      <c r="B173" s="105" t="str">
        <f>IF(Fastest!$T178&lt;&gt;"",Fastest!D178,"")</f>
        <v/>
      </c>
      <c r="C173" s="105" t="str">
        <f>IF(Fastest!$T178&lt;&gt;"",Fastest!$S178,"")</f>
        <v/>
      </c>
      <c r="D173" s="105" t="str">
        <f>IF(Fastest!$T178&lt;&gt;"",Fastest!$K178,"")</f>
        <v/>
      </c>
      <c r="E173" s="113" t="str">
        <f>IF(Fastest!T178&lt;&gt;"",Fastest!T178,"")</f>
        <v/>
      </c>
    </row>
    <row r="174" spans="1:5">
      <c r="A174" s="105">
        <v>170</v>
      </c>
      <c r="B174" s="105" t="str">
        <f>IF(Fastest!$T179&lt;&gt;"",Fastest!D179,"")</f>
        <v/>
      </c>
      <c r="C174" s="105" t="str">
        <f>IF(Fastest!$T179&lt;&gt;"",Fastest!$S179,"")</f>
        <v/>
      </c>
      <c r="D174" s="105" t="str">
        <f>IF(Fastest!$T179&lt;&gt;"",Fastest!$K179,"")</f>
        <v/>
      </c>
      <c r="E174" s="113" t="str">
        <f>IF(Fastest!T179&lt;&gt;"",Fastest!T179,"")</f>
        <v/>
      </c>
    </row>
    <row r="175" spans="1:5">
      <c r="A175" s="105">
        <v>171</v>
      </c>
      <c r="B175" s="105" t="str">
        <f>IF(Fastest!$T180&lt;&gt;"",Fastest!D180,"")</f>
        <v/>
      </c>
      <c r="C175" s="105" t="str">
        <f>IF(Fastest!$T180&lt;&gt;"",Fastest!$S180,"")</f>
        <v/>
      </c>
      <c r="D175" s="105" t="str">
        <f>IF(Fastest!$T180&lt;&gt;"",Fastest!$K180,"")</f>
        <v/>
      </c>
      <c r="E175" s="113" t="str">
        <f>IF(Fastest!T180&lt;&gt;"",Fastest!T180,"")</f>
        <v/>
      </c>
    </row>
    <row r="176" spans="1:5">
      <c r="A176" s="105">
        <v>172</v>
      </c>
      <c r="B176" s="105" t="str">
        <f>IF(Fastest!$T181&lt;&gt;"",Fastest!D181,"")</f>
        <v/>
      </c>
      <c r="C176" s="105" t="str">
        <f>IF(Fastest!$T181&lt;&gt;"",Fastest!$S181,"")</f>
        <v/>
      </c>
      <c r="D176" s="105" t="str">
        <f>IF(Fastest!$T181&lt;&gt;"",Fastest!$K181,"")</f>
        <v/>
      </c>
      <c r="E176" s="113" t="str">
        <f>IF(Fastest!T181&lt;&gt;"",Fastest!T181,"")</f>
        <v/>
      </c>
    </row>
    <row r="177" spans="1:5">
      <c r="A177" s="105">
        <v>173</v>
      </c>
      <c r="B177" s="105" t="str">
        <f>IF(Fastest!$T182&lt;&gt;"",Fastest!D182,"")</f>
        <v/>
      </c>
      <c r="C177" s="105" t="str">
        <f>IF(Fastest!$T182&lt;&gt;"",Fastest!$S182,"")</f>
        <v/>
      </c>
      <c r="D177" s="105" t="str">
        <f>IF(Fastest!$T182&lt;&gt;"",Fastest!$K182,"")</f>
        <v/>
      </c>
      <c r="E177" s="113" t="str">
        <f>IF(Fastest!T182&lt;&gt;"",Fastest!T182,"")</f>
        <v/>
      </c>
    </row>
    <row r="178" spans="1:5">
      <c r="A178" s="105">
        <v>174</v>
      </c>
      <c r="B178" s="105" t="str">
        <f>IF(Fastest!$T183&lt;&gt;"",Fastest!D183,"")</f>
        <v/>
      </c>
      <c r="C178" s="105" t="str">
        <f>IF(Fastest!$T183&lt;&gt;"",Fastest!$S183,"")</f>
        <v/>
      </c>
      <c r="D178" s="105" t="str">
        <f>IF(Fastest!$T183&lt;&gt;"",Fastest!$K183,"")</f>
        <v/>
      </c>
      <c r="E178" s="113" t="str">
        <f>IF(Fastest!T183&lt;&gt;"",Fastest!T183,"")</f>
        <v/>
      </c>
    </row>
    <row r="179" spans="1:5">
      <c r="A179" s="105">
        <v>175</v>
      </c>
      <c r="B179" s="105" t="str">
        <f>IF(Fastest!$T184&lt;&gt;"",Fastest!D184,"")</f>
        <v/>
      </c>
      <c r="C179" s="105" t="str">
        <f>IF(Fastest!$T184&lt;&gt;"",Fastest!$S184,"")</f>
        <v/>
      </c>
      <c r="D179" s="105" t="str">
        <f>IF(Fastest!$T184&lt;&gt;"",Fastest!$K184,"")</f>
        <v/>
      </c>
      <c r="E179" s="113" t="str">
        <f>IF(Fastest!T184&lt;&gt;"",Fastest!T184,"")</f>
        <v/>
      </c>
    </row>
    <row r="180" spans="1:5">
      <c r="A180" s="105">
        <v>176</v>
      </c>
      <c r="B180" s="105" t="str">
        <f>IF(Fastest!$T185&lt;&gt;"",Fastest!D185,"")</f>
        <v/>
      </c>
      <c r="C180" s="105" t="str">
        <f>IF(Fastest!$T185&lt;&gt;"",Fastest!$S185,"")</f>
        <v/>
      </c>
      <c r="D180" s="105" t="str">
        <f>IF(Fastest!$T185&lt;&gt;"",Fastest!$K185,"")</f>
        <v/>
      </c>
      <c r="E180" s="113" t="str">
        <f>IF(Fastest!T185&lt;&gt;"",Fastest!T185,"")</f>
        <v/>
      </c>
    </row>
    <row r="181" spans="1:5">
      <c r="A181" s="105">
        <v>177</v>
      </c>
      <c r="B181" s="105" t="str">
        <f>IF(Fastest!$T186&lt;&gt;"",Fastest!D186,"")</f>
        <v/>
      </c>
      <c r="C181" s="105" t="str">
        <f>IF(Fastest!$T186&lt;&gt;"",Fastest!$S186,"")</f>
        <v/>
      </c>
      <c r="D181" s="105" t="str">
        <f>IF(Fastest!$T186&lt;&gt;"",Fastest!$K186,"")</f>
        <v/>
      </c>
      <c r="E181" s="113" t="str">
        <f>IF(Fastest!T186&lt;&gt;"",Fastest!T186,"")</f>
        <v/>
      </c>
    </row>
    <row r="182" spans="1:5">
      <c r="A182" s="105">
        <v>178</v>
      </c>
      <c r="B182" s="105" t="str">
        <f>IF(Fastest!$T187&lt;&gt;"",Fastest!D187,"")</f>
        <v/>
      </c>
      <c r="C182" s="105" t="str">
        <f>IF(Fastest!$T187&lt;&gt;"",Fastest!$S187,"")</f>
        <v/>
      </c>
      <c r="D182" s="105" t="str">
        <f>IF(Fastest!$T187&lt;&gt;"",Fastest!$K187,"")</f>
        <v/>
      </c>
      <c r="E182" s="113" t="str">
        <f>IF(Fastest!T187&lt;&gt;"",Fastest!T187,"")</f>
        <v/>
      </c>
    </row>
    <row r="183" spans="1:5">
      <c r="A183" s="105">
        <v>179</v>
      </c>
      <c r="B183" s="105" t="str">
        <f>IF(Fastest!$T188&lt;&gt;"",Fastest!D188,"")</f>
        <v/>
      </c>
      <c r="C183" s="105" t="str">
        <f>IF(Fastest!$T188&lt;&gt;"",Fastest!$S188,"")</f>
        <v/>
      </c>
      <c r="D183" s="105" t="str">
        <f>IF(Fastest!$T188&lt;&gt;"",Fastest!$K188,"")</f>
        <v/>
      </c>
      <c r="E183" s="113" t="str">
        <f>IF(Fastest!T188&lt;&gt;"",Fastest!T188,"")</f>
        <v/>
      </c>
    </row>
    <row r="184" spans="1:5">
      <c r="A184" s="105">
        <v>180</v>
      </c>
      <c r="B184" s="105" t="str">
        <f>IF(Fastest!$T189&lt;&gt;"",Fastest!D189,"")</f>
        <v/>
      </c>
      <c r="C184" s="105" t="str">
        <f>IF(Fastest!$T189&lt;&gt;"",Fastest!$S189,"")</f>
        <v/>
      </c>
      <c r="D184" s="105" t="str">
        <f>IF(Fastest!$T189&lt;&gt;"",Fastest!$K189,"")</f>
        <v/>
      </c>
      <c r="E184" s="113" t="str">
        <f>IF(Fastest!T189&lt;&gt;"",Fastest!T189,"")</f>
        <v/>
      </c>
    </row>
    <row r="185" spans="1:5">
      <c r="A185" s="105">
        <v>181</v>
      </c>
      <c r="B185" s="105" t="str">
        <f>IF(Fastest!$T190&lt;&gt;"",Fastest!D190,"")</f>
        <v/>
      </c>
      <c r="C185" s="105" t="str">
        <f>IF(Fastest!$T190&lt;&gt;"",Fastest!$S190,"")</f>
        <v/>
      </c>
      <c r="D185" s="105" t="str">
        <f>IF(Fastest!$T190&lt;&gt;"",Fastest!$K190,"")</f>
        <v/>
      </c>
      <c r="E185" s="113" t="str">
        <f>IF(Fastest!T190&lt;&gt;"",Fastest!T190,"")</f>
        <v/>
      </c>
    </row>
    <row r="186" spans="1:5">
      <c r="A186" s="105">
        <v>182</v>
      </c>
      <c r="B186" s="105" t="str">
        <f>IF(Fastest!$T191&lt;&gt;"",Fastest!D191,"")</f>
        <v/>
      </c>
      <c r="C186" s="105" t="str">
        <f>IF(Fastest!$T191&lt;&gt;"",Fastest!$S191,"")</f>
        <v/>
      </c>
      <c r="D186" s="105" t="str">
        <f>IF(Fastest!$T191&lt;&gt;"",Fastest!$K191,"")</f>
        <v/>
      </c>
      <c r="E186" s="113" t="str">
        <f>IF(Fastest!T191&lt;&gt;"",Fastest!T191,"")</f>
        <v/>
      </c>
    </row>
    <row r="187" spans="1:5">
      <c r="A187" s="105">
        <v>183</v>
      </c>
      <c r="B187" s="105" t="str">
        <f>IF(Fastest!$T192&lt;&gt;"",Fastest!D192,"")</f>
        <v/>
      </c>
      <c r="C187" s="105" t="str">
        <f>IF(Fastest!$T192&lt;&gt;"",Fastest!$S192,"")</f>
        <v/>
      </c>
      <c r="D187" s="105" t="str">
        <f>IF(Fastest!$T192&lt;&gt;"",Fastest!$K192,"")</f>
        <v/>
      </c>
      <c r="E187" s="113" t="str">
        <f>IF(Fastest!T192&lt;&gt;"",Fastest!T192,"")</f>
        <v/>
      </c>
    </row>
    <row r="188" spans="1:5">
      <c r="A188" s="105">
        <v>184</v>
      </c>
      <c r="B188" s="105" t="str">
        <f>IF(Fastest!$T193&lt;&gt;"",Fastest!D193,"")</f>
        <v/>
      </c>
      <c r="C188" s="105" t="str">
        <f>IF(Fastest!$T193&lt;&gt;"",Fastest!$S193,"")</f>
        <v/>
      </c>
      <c r="D188" s="105" t="str">
        <f>IF(Fastest!$T193&lt;&gt;"",Fastest!$K193,"")</f>
        <v/>
      </c>
      <c r="E188" s="113" t="str">
        <f>IF(Fastest!T193&lt;&gt;"",Fastest!T193,"")</f>
        <v/>
      </c>
    </row>
    <row r="189" spans="1:5">
      <c r="A189" s="105">
        <v>185</v>
      </c>
      <c r="B189" s="105" t="str">
        <f>IF(Fastest!$T194&lt;&gt;"",Fastest!D194,"")</f>
        <v/>
      </c>
      <c r="C189" s="105" t="str">
        <f>IF(Fastest!$T194&lt;&gt;"",Fastest!$S194,"")</f>
        <v/>
      </c>
      <c r="D189" s="105" t="str">
        <f>IF(Fastest!$T194&lt;&gt;"",Fastest!$K194,"")</f>
        <v/>
      </c>
      <c r="E189" s="113" t="str">
        <f>IF(Fastest!T194&lt;&gt;"",Fastest!T194,"")</f>
        <v/>
      </c>
    </row>
    <row r="190" spans="1:5">
      <c r="A190" s="105">
        <v>186</v>
      </c>
      <c r="B190" s="105" t="str">
        <f>IF(Fastest!$T195&lt;&gt;"",Fastest!D195,"")</f>
        <v/>
      </c>
      <c r="C190" s="105" t="str">
        <f>IF(Fastest!$T195&lt;&gt;"",Fastest!$S195,"")</f>
        <v/>
      </c>
      <c r="D190" s="105" t="str">
        <f>IF(Fastest!$T195&lt;&gt;"",Fastest!$K195,"")</f>
        <v/>
      </c>
      <c r="E190" s="113" t="str">
        <f>IF(Fastest!T195&lt;&gt;"",Fastest!T195,"")</f>
        <v/>
      </c>
    </row>
    <row r="191" spans="1:5">
      <c r="A191" s="105">
        <v>187</v>
      </c>
      <c r="B191" s="105" t="str">
        <f>IF(Fastest!$T196&lt;&gt;"",Fastest!D196,"")</f>
        <v/>
      </c>
      <c r="C191" s="105" t="str">
        <f>IF(Fastest!$T196&lt;&gt;"",Fastest!$S196,"")</f>
        <v/>
      </c>
      <c r="D191" s="105" t="str">
        <f>IF(Fastest!$T196&lt;&gt;"",Fastest!$K196,"")</f>
        <v/>
      </c>
      <c r="E191" s="113" t="str">
        <f>IF(Fastest!T196&lt;&gt;"",Fastest!T196,"")</f>
        <v/>
      </c>
    </row>
    <row r="192" spans="1:5">
      <c r="A192" s="105">
        <v>188</v>
      </c>
      <c r="B192" s="105" t="str">
        <f>IF(Fastest!$T197&lt;&gt;"",Fastest!D197,"")</f>
        <v/>
      </c>
      <c r="C192" s="105" t="str">
        <f>IF(Fastest!$T197&lt;&gt;"",Fastest!$S197,"")</f>
        <v/>
      </c>
      <c r="D192" s="105" t="str">
        <f>IF(Fastest!$T197&lt;&gt;"",Fastest!$K197,"")</f>
        <v/>
      </c>
      <c r="E192" s="113" t="str">
        <f>IF(Fastest!T197&lt;&gt;"",Fastest!T197,"")</f>
        <v/>
      </c>
    </row>
    <row r="193" spans="1:5">
      <c r="A193" s="105">
        <v>189</v>
      </c>
      <c r="B193" s="105" t="str">
        <f>IF(Fastest!$T198&lt;&gt;"",Fastest!D198,"")</f>
        <v/>
      </c>
      <c r="C193" s="105" t="str">
        <f>IF(Fastest!$T198&lt;&gt;"",Fastest!$S198,"")</f>
        <v/>
      </c>
      <c r="D193" s="105" t="str">
        <f>IF(Fastest!$T198&lt;&gt;"",Fastest!$K198,"")</f>
        <v/>
      </c>
      <c r="E193" s="113" t="str">
        <f>IF(Fastest!T198&lt;&gt;"",Fastest!T198,"")</f>
        <v/>
      </c>
    </row>
    <row r="194" spans="1:5">
      <c r="A194" s="105">
        <v>190</v>
      </c>
      <c r="B194" s="105" t="str">
        <f>IF(Fastest!$T199&lt;&gt;"",Fastest!D199,"")</f>
        <v/>
      </c>
      <c r="C194" s="105" t="str">
        <f>IF(Fastest!$T199&lt;&gt;"",Fastest!$S199,"")</f>
        <v/>
      </c>
      <c r="D194" s="105" t="str">
        <f>IF(Fastest!$T199&lt;&gt;"",Fastest!$K199,"")</f>
        <v/>
      </c>
      <c r="E194" s="113" t="str">
        <f>IF(Fastest!T199&lt;&gt;"",Fastest!T199,"")</f>
        <v/>
      </c>
    </row>
    <row r="195" spans="1:5">
      <c r="A195" s="105">
        <v>191</v>
      </c>
      <c r="B195" s="105" t="str">
        <f>IF(Fastest!$T200&lt;&gt;"",Fastest!D200,"")</f>
        <v/>
      </c>
      <c r="C195" s="105" t="str">
        <f>IF(Fastest!$T200&lt;&gt;"",Fastest!$S200,"")</f>
        <v/>
      </c>
      <c r="D195" s="105" t="str">
        <f>IF(Fastest!$T200&lt;&gt;"",Fastest!$K200,"")</f>
        <v/>
      </c>
      <c r="E195" s="113" t="str">
        <f>IF(Fastest!T200&lt;&gt;"",Fastest!T200,"")</f>
        <v/>
      </c>
    </row>
    <row r="196" spans="1:5">
      <c r="A196" s="105">
        <v>192</v>
      </c>
      <c r="B196" s="105" t="str">
        <f>IF(Fastest!$T201&lt;&gt;"",Fastest!D201,"")</f>
        <v/>
      </c>
      <c r="C196" s="105" t="str">
        <f>IF(Fastest!$T201&lt;&gt;"",Fastest!$S201,"")</f>
        <v/>
      </c>
      <c r="D196" s="105" t="str">
        <f>IF(Fastest!$T201&lt;&gt;"",Fastest!$K201,"")</f>
        <v/>
      </c>
      <c r="E196" s="113" t="str">
        <f>IF(Fastest!T201&lt;&gt;"",Fastest!T201,"")</f>
        <v/>
      </c>
    </row>
    <row r="197" spans="1:5">
      <c r="A197" s="105">
        <v>193</v>
      </c>
      <c r="B197" s="105" t="str">
        <f>IF(Fastest!$T202&lt;&gt;"",Fastest!D202,"")</f>
        <v/>
      </c>
      <c r="C197" s="105" t="str">
        <f>IF(Fastest!$T202&lt;&gt;"",Fastest!$S202,"")</f>
        <v/>
      </c>
      <c r="D197" s="105" t="str">
        <f>IF(Fastest!$T202&lt;&gt;"",Fastest!$K202,"")</f>
        <v/>
      </c>
      <c r="E197" s="113" t="str">
        <f>IF(Fastest!T202&lt;&gt;"",Fastest!T202,"")</f>
        <v/>
      </c>
    </row>
    <row r="198" spans="1:5">
      <c r="A198" s="105">
        <v>194</v>
      </c>
      <c r="B198" s="105" t="str">
        <f>IF(Fastest!$T203&lt;&gt;"",Fastest!D203,"")</f>
        <v/>
      </c>
      <c r="C198" s="105" t="str">
        <f>IF(Fastest!$T203&lt;&gt;"",Fastest!$S203,"")</f>
        <v/>
      </c>
      <c r="D198" s="105" t="str">
        <f>IF(Fastest!$T203&lt;&gt;"",Fastest!$K203,"")</f>
        <v/>
      </c>
      <c r="E198" s="113" t="str">
        <f>IF(Fastest!T203&lt;&gt;"",Fastest!T203,"")</f>
        <v/>
      </c>
    </row>
    <row r="199" spans="1:5">
      <c r="A199" s="105">
        <v>195</v>
      </c>
      <c r="B199" s="105" t="str">
        <f>IF(Fastest!$T204&lt;&gt;"",Fastest!D204,"")</f>
        <v/>
      </c>
      <c r="C199" s="105" t="str">
        <f>IF(Fastest!$T204&lt;&gt;"",Fastest!$S204,"")</f>
        <v/>
      </c>
      <c r="D199" s="105" t="str">
        <f>IF(Fastest!$T204&lt;&gt;"",Fastest!$K204,"")</f>
        <v/>
      </c>
      <c r="E199" s="113" t="str">
        <f>IF(Fastest!T204&lt;&gt;"",Fastest!T204,"")</f>
        <v/>
      </c>
    </row>
    <row r="200" spans="1:5">
      <c r="A200" s="105">
        <v>196</v>
      </c>
      <c r="B200" s="105" t="str">
        <f>IF(Fastest!$T205&lt;&gt;"",Fastest!D205,"")</f>
        <v/>
      </c>
      <c r="C200" s="105" t="str">
        <f>IF(Fastest!$T205&lt;&gt;"",Fastest!$S205,"")</f>
        <v/>
      </c>
      <c r="D200" s="105" t="str">
        <f>IF(Fastest!$T205&lt;&gt;"",Fastest!$K205,"")</f>
        <v/>
      </c>
      <c r="E200" s="113" t="str">
        <f>IF(Fastest!T205&lt;&gt;"",Fastest!T205,"")</f>
        <v/>
      </c>
    </row>
    <row r="201" spans="1:5">
      <c r="A201" s="105">
        <v>197</v>
      </c>
      <c r="B201" s="105" t="str">
        <f>IF(Fastest!$T206&lt;&gt;"",Fastest!D206,"")</f>
        <v/>
      </c>
      <c r="C201" s="105" t="str">
        <f>IF(Fastest!$T206&lt;&gt;"",Fastest!$S206,"")</f>
        <v/>
      </c>
      <c r="D201" s="105" t="str">
        <f>IF(Fastest!$T206&lt;&gt;"",Fastest!$K206,"")</f>
        <v/>
      </c>
      <c r="E201" s="113" t="str">
        <f>IF(Fastest!T206&lt;&gt;"",Fastest!T206,"")</f>
        <v/>
      </c>
    </row>
    <row r="202" spans="1:5">
      <c r="A202" s="105">
        <v>198</v>
      </c>
      <c r="B202" s="105" t="str">
        <f>IF(Fastest!$T207&lt;&gt;"",Fastest!D207,"")</f>
        <v/>
      </c>
      <c r="C202" s="105" t="str">
        <f>IF(Fastest!$T207&lt;&gt;"",Fastest!$S207,"")</f>
        <v/>
      </c>
      <c r="D202" s="105" t="str">
        <f>IF(Fastest!$T207&lt;&gt;"",Fastest!$K207,"")</f>
        <v/>
      </c>
      <c r="E202" s="113" t="str">
        <f>IF(Fastest!T207&lt;&gt;"",Fastest!T207,"")</f>
        <v/>
      </c>
    </row>
    <row r="203" spans="1:5">
      <c r="A203" s="105">
        <v>199</v>
      </c>
      <c r="B203" s="105" t="str">
        <f>IF(Fastest!$T208&lt;&gt;"",Fastest!D208,"")</f>
        <v/>
      </c>
      <c r="C203" s="105" t="str">
        <f>IF(Fastest!$T208&lt;&gt;"",Fastest!$S208,"")</f>
        <v/>
      </c>
      <c r="D203" s="105" t="str">
        <f>IF(Fastest!$T208&lt;&gt;"",Fastest!$K208,"")</f>
        <v/>
      </c>
      <c r="E203" s="113" t="str">
        <f>IF(Fastest!T208&lt;&gt;"",Fastest!T208,"")</f>
        <v/>
      </c>
    </row>
    <row r="204" spans="1:5">
      <c r="A204" s="105">
        <v>200</v>
      </c>
      <c r="B204" s="105" t="str">
        <f>IF(Fastest!$T209&lt;&gt;"",Fastest!D209,"")</f>
        <v/>
      </c>
      <c r="C204" s="105" t="str">
        <f>IF(Fastest!$T209&lt;&gt;"",Fastest!$S209,"")</f>
        <v/>
      </c>
      <c r="D204" s="105" t="str">
        <f>IF(Fastest!$T209&lt;&gt;"",Fastest!$K209,"")</f>
        <v/>
      </c>
      <c r="E204" s="113" t="str">
        <f>IF(Fastest!T209&lt;&gt;"",Fastest!T209,"")</f>
        <v/>
      </c>
    </row>
  </sheetData>
  <sheetProtection password="BC93" sheet="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CCFB5CC1AE3E4AAF8F4AC88004D562" ma:contentTypeVersion="1338" ma:contentTypeDescription="Create a new document." ma:contentTypeScope="" ma:versionID="89b5aa2da59dd6f72f143166a5a37bc8">
  <xsd:schema xmlns:xsd="http://www.w3.org/2001/XMLSchema" xmlns:xs="http://www.w3.org/2001/XMLSchema" xmlns:p="http://schemas.microsoft.com/office/2006/metadata/properties" xmlns:ns2="846dfa46-0875-46aa-b442-521457251285" xmlns:ns3="a80f0f2a-82ee-4487-a09b-77150e5eecf1" targetNamespace="http://schemas.microsoft.com/office/2006/metadata/properties" ma:root="true" ma:fieldsID="a0f5944b7ccbbed152aef94b818eafe6" ns2:_="" ns3:_="">
    <xsd:import namespace="846dfa46-0875-46aa-b442-521457251285"/>
    <xsd:import namespace="a80f0f2a-82ee-4487-a09b-77150e5eecf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2:SharedWithUsers" minOccurs="0"/>
                <xsd:element ref="ns2:SharedWithDetails"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dfa46-0875-46aa-b442-5214572512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5d8fcc9-6181-4fb4-9ec7-2e62b0295483}" ma:internalName="TaxCatchAll" ma:showField="CatchAllData" ma:web="846dfa46-0875-46aa-b442-5214572512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80f0f2a-82ee-4487-a09b-77150e5eecf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6bd7a86-3cfd-433b-a863-5099381b314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A976E3-FD21-473E-AC08-69CA00AD6327}"/>
</file>

<file path=customXml/itemProps2.xml><?xml version="1.0" encoding="utf-8"?>
<ds:datastoreItem xmlns:ds="http://schemas.openxmlformats.org/officeDocument/2006/customXml" ds:itemID="{8C154BBB-8E3F-4C00-A0F9-5184368F7282}"/>
</file>

<file path=customXml/itemProps3.xml><?xml version="1.0" encoding="utf-8"?>
<ds:datastoreItem xmlns:ds="http://schemas.openxmlformats.org/officeDocument/2006/customXml" ds:itemID="{E4B16F04-63B1-4A6F-8A25-C52CA3EDFA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BCF Membership Services</dc:creator>
  <cp:keywords/>
  <dc:description/>
  <cp:lastModifiedBy>Eilidh Brown</cp:lastModifiedBy>
  <cp:revision/>
  <dcterms:created xsi:type="dcterms:W3CDTF">1999-01-19T09:38:13Z</dcterms:created>
  <dcterms:modified xsi:type="dcterms:W3CDTF">2025-09-11T08:02:24Z</dcterms:modified>
  <cp:category/>
  <cp:contentStatus/>
</cp:coreProperties>
</file>